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summerville\Desktop\"/>
    </mc:Choice>
  </mc:AlternateContent>
  <xr:revisionPtr revIDLastSave="0" documentId="8_{E8618B36-5591-447F-8B06-B22015A4B58F}" xr6:coauthVersionLast="36" xr6:coauthVersionMax="36" xr10:uidLastSave="{00000000-0000-0000-0000-000000000000}"/>
  <bookViews>
    <workbookView xWindow="0" yWindow="0" windowWidth="14510" windowHeight="11910" firstSheet="2" activeTab="2" xr2:uid="{1DF7438F-9BB4-479D-876D-AEA183014831}"/>
  </bookViews>
  <sheets>
    <sheet name="Summary" sheetId="7" r:id="rId1"/>
    <sheet name="Stage 1" sheetId="1" r:id="rId2"/>
    <sheet name="Stage 2" sheetId="3" r:id="rId3"/>
    <sheet name="Stage3-5&amp;Exp" sheetId="4" r:id="rId4"/>
    <sheet name="List of Cost Centers" sheetId="5" state="hidden" r:id="rId5"/>
    <sheet name="Vendor List" sheetId="6" state="hidden" r:id="rId6"/>
  </sheets>
  <definedNames>
    <definedName name="_xlnm._FilterDatabase" localSheetId="1" hidden="1">'Stage 1'!$C$32:$F$80</definedName>
    <definedName name="_xlnm._FilterDatabase" localSheetId="2" hidden="1">'Stage 2'!$C$32:$J$57</definedName>
    <definedName name="_xlnm._FilterDatabase" localSheetId="3" hidden="1">'Stage3-5&amp;Exp'!$C$32:$F$32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E8" i="4"/>
  <c r="G9" i="4"/>
  <c r="G8" i="4"/>
  <c r="F9" i="4"/>
  <c r="F8" i="4"/>
  <c r="E9" i="1"/>
  <c r="I9" i="1" s="1"/>
  <c r="E8" i="1"/>
  <c r="I8" i="1" s="1"/>
  <c r="H9" i="1"/>
  <c r="H8" i="1"/>
  <c r="G9" i="1"/>
  <c r="G8" i="1"/>
  <c r="F9" i="1"/>
  <c r="F8" i="1"/>
  <c r="E11" i="3"/>
  <c r="E9" i="3"/>
  <c r="E8" i="3"/>
  <c r="G9" i="3"/>
  <c r="F9" i="3"/>
  <c r="G8" i="3"/>
  <c r="F8" i="3"/>
  <c r="I15" i="3"/>
  <c r="F28" i="1"/>
  <c r="G11" i="7" l="1"/>
  <c r="F11" i="7" s="1"/>
  <c r="E11" i="7"/>
  <c r="G10" i="7"/>
  <c r="E10" i="7"/>
  <c r="D11" i="7"/>
  <c r="D10" i="7"/>
  <c r="J47" i="3" l="1"/>
  <c r="D47" i="3"/>
  <c r="G28" i="1"/>
  <c r="H28" i="1"/>
  <c r="G27" i="1"/>
  <c r="H27" i="1"/>
  <c r="F27" i="1"/>
  <c r="G28" i="3" l="1"/>
  <c r="H28" i="3"/>
  <c r="G27" i="3"/>
  <c r="H27" i="3"/>
  <c r="G27" i="4"/>
  <c r="H27" i="4"/>
  <c r="F27" i="4"/>
  <c r="F28" i="3"/>
  <c r="F27" i="3"/>
  <c r="H11" i="7"/>
  <c r="J11" i="7"/>
  <c r="K11" i="7"/>
  <c r="I11" i="7"/>
  <c r="I10" i="7"/>
  <c r="D12" i="7"/>
  <c r="E12" i="7" l="1"/>
  <c r="I12" i="7" s="1"/>
  <c r="I61" i="1" l="1"/>
  <c r="D34" i="4"/>
  <c r="D33" i="4"/>
  <c r="D25" i="4"/>
  <c r="D24" i="4"/>
  <c r="D23" i="4"/>
  <c r="D22" i="4"/>
  <c r="D21" i="4"/>
  <c r="D20" i="4"/>
  <c r="D19" i="4"/>
  <c r="D18" i="4"/>
  <c r="D17" i="4"/>
  <c r="D16" i="4"/>
  <c r="D15" i="4"/>
  <c r="D55" i="3"/>
  <c r="D54" i="3"/>
  <c r="D53" i="3"/>
  <c r="D52" i="3"/>
  <c r="D51" i="3"/>
  <c r="D50" i="3"/>
  <c r="D49" i="3"/>
  <c r="D48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25" i="3"/>
  <c r="D24" i="3"/>
  <c r="D23" i="3"/>
  <c r="D22" i="3"/>
  <c r="D21" i="3"/>
  <c r="D20" i="3"/>
  <c r="D19" i="3"/>
  <c r="D18" i="3"/>
  <c r="D17" i="3"/>
  <c r="D16" i="3"/>
  <c r="D15" i="3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25" i="1"/>
  <c r="D24" i="1"/>
  <c r="D22" i="1"/>
  <c r="D20" i="1"/>
  <c r="D19" i="1"/>
  <c r="D18" i="1"/>
  <c r="D17" i="1"/>
  <c r="D16" i="1"/>
  <c r="D15" i="1"/>
  <c r="G34" i="1"/>
  <c r="J61" i="1" l="1"/>
  <c r="H75" i="1"/>
  <c r="G75" i="1"/>
  <c r="H36" i="1"/>
  <c r="G36" i="1"/>
  <c r="H35" i="1"/>
  <c r="G35" i="1"/>
  <c r="F4" i="7" l="1"/>
  <c r="F5" i="7"/>
  <c r="F18" i="7" s="1"/>
  <c r="G10" i="3"/>
  <c r="G11" i="3" s="1"/>
  <c r="F10" i="4"/>
  <c r="H9" i="4"/>
  <c r="G10" i="4"/>
  <c r="G10" i="1"/>
  <c r="H8" i="4"/>
  <c r="G69" i="1"/>
  <c r="F6" i="7" l="1"/>
  <c r="H10" i="4"/>
  <c r="F10" i="1"/>
  <c r="H35" i="4"/>
  <c r="G35" i="4"/>
  <c r="H26" i="4"/>
  <c r="G26" i="4"/>
  <c r="H56" i="3"/>
  <c r="H26" i="3"/>
  <c r="G26" i="3"/>
  <c r="G40" i="3"/>
  <c r="H10" i="1" l="1"/>
  <c r="G56" i="3"/>
  <c r="G57" i="3" s="1"/>
  <c r="G36" i="4"/>
  <c r="H36" i="4"/>
  <c r="H57" i="3"/>
  <c r="H79" i="1" l="1"/>
  <c r="G79" i="1"/>
  <c r="H26" i="1"/>
  <c r="G26" i="1"/>
  <c r="I39" i="1"/>
  <c r="H80" i="1" l="1"/>
  <c r="G80" i="1"/>
  <c r="F26" i="4" l="1"/>
  <c r="I25" i="4"/>
  <c r="I25" i="1"/>
  <c r="F26" i="1"/>
  <c r="I34" i="4"/>
  <c r="J34" i="4" s="1"/>
  <c r="I33" i="4"/>
  <c r="I16" i="4"/>
  <c r="I17" i="4"/>
  <c r="J17" i="4" s="1"/>
  <c r="I18" i="4"/>
  <c r="J18" i="4" s="1"/>
  <c r="I19" i="4"/>
  <c r="J19" i="4" s="1"/>
  <c r="I20" i="4"/>
  <c r="J20" i="4" s="1"/>
  <c r="I21" i="4"/>
  <c r="J21" i="4" s="1"/>
  <c r="I22" i="4"/>
  <c r="J22" i="4" s="1"/>
  <c r="I23" i="4"/>
  <c r="J23" i="4" s="1"/>
  <c r="I24" i="4"/>
  <c r="I15" i="4"/>
  <c r="J25" i="4" l="1"/>
  <c r="J24" i="4"/>
  <c r="J15" i="4"/>
  <c r="I27" i="4"/>
  <c r="J25" i="1"/>
  <c r="J33" i="4"/>
  <c r="I35" i="4"/>
  <c r="J16" i="4"/>
  <c r="J26" i="4" s="1"/>
  <c r="I26" i="4"/>
  <c r="I34" i="3"/>
  <c r="I35" i="3"/>
  <c r="I36" i="3"/>
  <c r="I37" i="3"/>
  <c r="I38" i="3"/>
  <c r="I39" i="3"/>
  <c r="I40" i="3"/>
  <c r="I41" i="3"/>
  <c r="I42" i="3"/>
  <c r="I43" i="3"/>
  <c r="I44" i="3"/>
  <c r="I45" i="3"/>
  <c r="I46" i="3"/>
  <c r="I48" i="3"/>
  <c r="I49" i="3"/>
  <c r="I50" i="3"/>
  <c r="I51" i="3"/>
  <c r="I52" i="3"/>
  <c r="I53" i="3"/>
  <c r="I54" i="3"/>
  <c r="I55" i="3"/>
  <c r="I33" i="3"/>
  <c r="I16" i="3"/>
  <c r="I17" i="3"/>
  <c r="I18" i="3"/>
  <c r="I19" i="3"/>
  <c r="I20" i="3"/>
  <c r="J20" i="3" s="1"/>
  <c r="I21" i="3"/>
  <c r="I22" i="3"/>
  <c r="I23" i="3"/>
  <c r="I24" i="3"/>
  <c r="I25" i="3"/>
  <c r="I33" i="1"/>
  <c r="J33" i="1" s="1"/>
  <c r="I34" i="1"/>
  <c r="I35" i="1"/>
  <c r="I36" i="1"/>
  <c r="I37" i="1"/>
  <c r="I38" i="1"/>
  <c r="J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F35" i="4"/>
  <c r="F36" i="4" s="1"/>
  <c r="J35" i="4" l="1"/>
  <c r="E10" i="4"/>
  <c r="I36" i="4"/>
  <c r="K8" i="4"/>
  <c r="J8" i="4"/>
  <c r="L8" i="4"/>
  <c r="I8" i="4"/>
  <c r="J54" i="3"/>
  <c r="J44" i="3"/>
  <c r="J36" i="3"/>
  <c r="J52" i="3"/>
  <c r="J35" i="3"/>
  <c r="J18" i="3"/>
  <c r="J34" i="3"/>
  <c r="J40" i="3"/>
  <c r="J42" i="3"/>
  <c r="J16" i="3"/>
  <c r="J23" i="3"/>
  <c r="J48" i="3"/>
  <c r="J39" i="3"/>
  <c r="J21" i="3"/>
  <c r="J45" i="3"/>
  <c r="J37" i="3"/>
  <c r="J53" i="3"/>
  <c r="J43" i="3"/>
  <c r="J51" i="3"/>
  <c r="J25" i="3"/>
  <c r="J17" i="3"/>
  <c r="J50" i="3"/>
  <c r="J41" i="3"/>
  <c r="J24" i="3"/>
  <c r="J49" i="3"/>
  <c r="J33" i="3"/>
  <c r="J22" i="3"/>
  <c r="J55" i="3"/>
  <c r="J38" i="3"/>
  <c r="J27" i="4"/>
  <c r="J19" i="3"/>
  <c r="I28" i="3"/>
  <c r="I27" i="3"/>
  <c r="J62" i="1"/>
  <c r="J53" i="1"/>
  <c r="J45" i="1"/>
  <c r="J37" i="1"/>
  <c r="J63" i="1"/>
  <c r="J60" i="1"/>
  <c r="J44" i="1"/>
  <c r="J36" i="1"/>
  <c r="J71" i="1"/>
  <c r="J77" i="1"/>
  <c r="J51" i="1"/>
  <c r="J43" i="1"/>
  <c r="J35" i="1"/>
  <c r="J69" i="1"/>
  <c r="J76" i="1"/>
  <c r="J58" i="1"/>
  <c r="J42" i="1"/>
  <c r="J34" i="1"/>
  <c r="J54" i="1"/>
  <c r="J70" i="1"/>
  <c r="J59" i="1"/>
  <c r="J67" i="1"/>
  <c r="J50" i="1"/>
  <c r="J74" i="1"/>
  <c r="J66" i="1"/>
  <c r="J57" i="1"/>
  <c r="J49" i="1"/>
  <c r="J41" i="1"/>
  <c r="J46" i="1"/>
  <c r="J52" i="1"/>
  <c r="J48" i="1"/>
  <c r="J38" i="1"/>
  <c r="J78" i="1"/>
  <c r="J68" i="1"/>
  <c r="J75" i="1"/>
  <c r="J73" i="1"/>
  <c r="J65" i="1"/>
  <c r="J56" i="1"/>
  <c r="J72" i="1"/>
  <c r="J64" i="1"/>
  <c r="J55" i="1"/>
  <c r="J47" i="1"/>
  <c r="J36" i="4"/>
  <c r="J37" i="4" s="1"/>
  <c r="G37" i="4"/>
  <c r="H37" i="4"/>
  <c r="I37" i="4"/>
  <c r="J15" i="3"/>
  <c r="I26" i="3"/>
  <c r="J46" i="3"/>
  <c r="I56" i="3"/>
  <c r="J40" i="1"/>
  <c r="I79" i="1"/>
  <c r="F26" i="3"/>
  <c r="F56" i="3"/>
  <c r="F79" i="1"/>
  <c r="F80" i="1" s="1"/>
  <c r="K9" i="4" l="1"/>
  <c r="J9" i="4"/>
  <c r="L9" i="4"/>
  <c r="I9" i="4"/>
  <c r="I10" i="4" s="1"/>
  <c r="J10" i="4"/>
  <c r="K10" i="4"/>
  <c r="L10" i="4"/>
  <c r="H8" i="3"/>
  <c r="E4" i="7"/>
  <c r="F10" i="3"/>
  <c r="F11" i="3" s="1"/>
  <c r="E5" i="7"/>
  <c r="H9" i="3"/>
  <c r="J28" i="3"/>
  <c r="J56" i="3"/>
  <c r="J26" i="3"/>
  <c r="J27" i="3"/>
  <c r="J79" i="1"/>
  <c r="G81" i="1"/>
  <c r="H81" i="1"/>
  <c r="I57" i="3"/>
  <c r="F57" i="3"/>
  <c r="K8" i="3" l="1"/>
  <c r="J8" i="3"/>
  <c r="E10" i="3"/>
  <c r="K10" i="3" s="1"/>
  <c r="I8" i="3"/>
  <c r="J9" i="3"/>
  <c r="K9" i="3"/>
  <c r="E35" i="7"/>
  <c r="D35" i="7"/>
  <c r="E18" i="7"/>
  <c r="E17" i="7"/>
  <c r="E26" i="7"/>
  <c r="D26" i="7"/>
  <c r="G4" i="7"/>
  <c r="N4" i="7" s="1"/>
  <c r="E6" i="7"/>
  <c r="J57" i="3"/>
  <c r="J58" i="3" s="1"/>
  <c r="L9" i="3"/>
  <c r="G5" i="7"/>
  <c r="I9" i="3"/>
  <c r="L8" i="3"/>
  <c r="H10" i="3"/>
  <c r="H11" i="3" s="1"/>
  <c r="I58" i="3"/>
  <c r="H58" i="3"/>
  <c r="G58" i="3"/>
  <c r="I24" i="1"/>
  <c r="I23" i="1"/>
  <c r="I22" i="1"/>
  <c r="I21" i="1"/>
  <c r="I20" i="1"/>
  <c r="I19" i="1"/>
  <c r="I18" i="1"/>
  <c r="I17" i="1"/>
  <c r="I28" i="1" s="1"/>
  <c r="I16" i="1"/>
  <c r="J16" i="1" s="1"/>
  <c r="I15" i="1"/>
  <c r="J10" i="3" l="1"/>
  <c r="L10" i="3"/>
  <c r="E19" i="7"/>
  <c r="G18" i="7"/>
  <c r="N18" i="7" s="1"/>
  <c r="E27" i="7"/>
  <c r="D27" i="7"/>
  <c r="G6" i="7"/>
  <c r="I10" i="3"/>
  <c r="I11" i="3" s="1"/>
  <c r="E36" i="7"/>
  <c r="D36" i="7"/>
  <c r="N5" i="7"/>
  <c r="I27" i="1"/>
  <c r="J22" i="1"/>
  <c r="J24" i="1"/>
  <c r="J21" i="1"/>
  <c r="J15" i="1"/>
  <c r="J18" i="1"/>
  <c r="J23" i="1"/>
  <c r="J19" i="1"/>
  <c r="J20" i="1"/>
  <c r="J17" i="1"/>
  <c r="I26" i="1"/>
  <c r="K8" i="1" l="1"/>
  <c r="J8" i="1"/>
  <c r="L8" i="1"/>
  <c r="D4" i="7"/>
  <c r="J28" i="1"/>
  <c r="N6" i="7"/>
  <c r="J27" i="1"/>
  <c r="J26" i="1"/>
  <c r="I80" i="1"/>
  <c r="I81" i="1" s="1"/>
  <c r="I4" i="7" l="1"/>
  <c r="K4" i="7"/>
  <c r="D28" i="7" s="1"/>
  <c r="D17" i="7"/>
  <c r="H4" i="7"/>
  <c r="D25" i="7"/>
  <c r="J4" i="7"/>
  <c r="E25" i="7"/>
  <c r="K9" i="1"/>
  <c r="J9" i="1"/>
  <c r="L9" i="1"/>
  <c r="H5" i="7"/>
  <c r="D5" i="7"/>
  <c r="D6" i="7" s="1"/>
  <c r="E10" i="1"/>
  <c r="J80" i="1"/>
  <c r="J81" i="1" s="1"/>
  <c r="F10" i="7"/>
  <c r="H10" i="7"/>
  <c r="H12" i="7" s="1"/>
  <c r="K10" i="7"/>
  <c r="F12" i="7"/>
  <c r="J12" i="7" s="1"/>
  <c r="G12" i="7"/>
  <c r="K12" i="7" s="1"/>
  <c r="J6" i="7" l="1"/>
  <c r="K6" i="7"/>
  <c r="I6" i="7"/>
  <c r="H6" i="7"/>
  <c r="K10" i="1"/>
  <c r="J10" i="1"/>
  <c r="L10" i="1"/>
  <c r="I5" i="7"/>
  <c r="E34" i="7"/>
  <c r="E37" i="7" s="1"/>
  <c r="K5" i="7"/>
  <c r="D37" i="7" s="1"/>
  <c r="D18" i="7"/>
  <c r="D34" i="7"/>
  <c r="J5" i="7"/>
  <c r="I17" i="7"/>
  <c r="D19" i="7"/>
  <c r="I19" i="7" s="1"/>
  <c r="I10" i="1"/>
  <c r="J10" i="7"/>
  <c r="F17" i="7"/>
  <c r="G17" i="7" s="1"/>
  <c r="N17" i="7" s="1"/>
  <c r="K18" i="7" l="1"/>
  <c r="I18" i="7"/>
  <c r="J18" i="7"/>
  <c r="H18" i="7"/>
  <c r="J17" i="7"/>
  <c r="E28" i="7"/>
  <c r="F19" i="7"/>
  <c r="J19" i="7" s="1"/>
  <c r="H17" i="7" l="1"/>
  <c r="H19" i="7" s="1"/>
  <c r="K17" i="7"/>
  <c r="G19" i="7"/>
  <c r="N19" i="7" s="1"/>
  <c r="K19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tc={C3805DD3-12C0-432A-A85B-98191174936C}</author>
    <author>tc={CFCD5FD1-26A3-4B95-95A7-F28318F114AF}</author>
  </authors>
  <commentList>
    <comment ref="F46" authorId="0" shapeId="0" xr:uid="{C3805DD3-12C0-432A-A85B-98191174936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amount is inclusive of deductive change orders and scope reconciliation - SBE figures are based from a total of $2,111,001.75 (exclusive of deductions)</t>
        </r>
      </text>
    </comment>
    <comment ref="F47" authorId="1" shapeId="0" xr:uid="{CFCD5FD1-26A3-4B95-95A7-F28318F114AF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This amount is inclusive of deductive change orders and scope reconciliation - SBE figures are based from a total of $2,111,001.75 (exclusive of deductions)</t>
        </r>
      </text>
    </comment>
  </commentList>
</comments>
</file>

<file path=xl/sharedStrings.xml><?xml version="1.0" encoding="utf-8"?>
<sst xmlns="http://schemas.openxmlformats.org/spreadsheetml/2006/main" count="857" uniqueCount="331">
  <si>
    <t>1)</t>
  </si>
  <si>
    <t>2022 Summary</t>
  </si>
  <si>
    <t>Total Committed</t>
  </si>
  <si>
    <t>SF SBE</t>
  </si>
  <si>
    <t>Non-SF SBE</t>
  </si>
  <si>
    <t>Total SBE</t>
  </si>
  <si>
    <t>Non-SBE</t>
  </si>
  <si>
    <t>SF SBE %</t>
  </si>
  <si>
    <t>Non-SF SBE %</t>
  </si>
  <si>
    <t>Total SBE %</t>
  </si>
  <si>
    <t>SF-SBE of Total SBE</t>
  </si>
  <si>
    <t>Professional</t>
  </si>
  <si>
    <t>Construction</t>
  </si>
  <si>
    <t>Totals</t>
  </si>
  <si>
    <t>2)</t>
  </si>
  <si>
    <t>Cumulative Through 2021</t>
  </si>
  <si>
    <t>3)</t>
  </si>
  <si>
    <t>Cumulative Summary</t>
  </si>
  <si>
    <t>Professional Services Contracts</t>
  </si>
  <si>
    <t>CY 2022</t>
  </si>
  <si>
    <t>Cumulative</t>
  </si>
  <si>
    <t>Total Covered Contracts Value</t>
  </si>
  <si>
    <t>Amount Awarded to SF SBEs</t>
  </si>
  <si>
    <t>Amount Awarded to all SBEs</t>
  </si>
  <si>
    <t>Achieved SBE Percentage</t>
  </si>
  <si>
    <t>Professional Services SBE Goal</t>
  </si>
  <si>
    <t>Construction Contracts</t>
  </si>
  <si>
    <t>Construction SBE Goal</t>
  </si>
  <si>
    <t>AS OF DECEMBER 31st, 2022</t>
  </si>
  <si>
    <t>2022 Stage 1 SBE Reporting</t>
  </si>
  <si>
    <t>Stage 1 Summary</t>
  </si>
  <si>
    <t>New Contracts (+ change orders) Executed in 2022</t>
  </si>
  <si>
    <t>Vendor</t>
  </si>
  <si>
    <t>P/C</t>
  </si>
  <si>
    <t>Cost Center</t>
  </si>
  <si>
    <t>Total Contract + CO Amount</t>
  </si>
  <si>
    <t>Conway and Partners</t>
  </si>
  <si>
    <t>Master Stage 1</t>
  </si>
  <si>
    <t>Hayes Davidson</t>
  </si>
  <si>
    <t>Desilva Gates Construction</t>
  </si>
  <si>
    <t>Waterfront Plaza</t>
  </si>
  <si>
    <t>Alfa Tech Consulting</t>
  </si>
  <si>
    <t>Cultural
Park</t>
  </si>
  <si>
    <t>Multivista</t>
  </si>
  <si>
    <t>TI
SIP</t>
  </si>
  <si>
    <t>CMG Landscape Architecture</t>
  </si>
  <si>
    <t>Power Systems Design</t>
  </si>
  <si>
    <t>P</t>
  </si>
  <si>
    <t>YBI SIP</t>
  </si>
  <si>
    <t>BKF/AGS</t>
  </si>
  <si>
    <t>Marina
Plaza</t>
  </si>
  <si>
    <t>J Wade</t>
  </si>
  <si>
    <t>Jensen Landscape Contractors</t>
  </si>
  <si>
    <t>Hilltop Park</t>
  </si>
  <si>
    <t>Total New 2022 Contracts</t>
  </si>
  <si>
    <t>Professional Services</t>
  </si>
  <si>
    <t xml:space="preserve">Construction </t>
  </si>
  <si>
    <t>Change Orders Added in 2022 for previously executed Contracts</t>
  </si>
  <si>
    <t>Stage 1</t>
  </si>
  <si>
    <t>Total CO Amount</t>
  </si>
  <si>
    <t>TRC Solutions</t>
  </si>
  <si>
    <t>TI Causeway</t>
  </si>
  <si>
    <t>JC Storm drain pump station</t>
  </si>
  <si>
    <t>BKF Engineers</t>
  </si>
  <si>
    <t>BKF/AGS Joint Venture</t>
  </si>
  <si>
    <t>Beach Park</t>
  </si>
  <si>
    <t>Dog Park</t>
  </si>
  <si>
    <t>Engeo Incorporated</t>
  </si>
  <si>
    <t>Hilltop
Park</t>
  </si>
  <si>
    <t>Fehr &amp; Peers</t>
  </si>
  <si>
    <t>Cityside
Park</t>
  </si>
  <si>
    <t>Vigen Onany &amp; Associates Inc</t>
  </si>
  <si>
    <t>Terraphase Engineering Inc</t>
  </si>
  <si>
    <t>Aecom Technical Services Inc</t>
  </si>
  <si>
    <t>Causeway Park</t>
  </si>
  <si>
    <t>S2 Partners</t>
  </si>
  <si>
    <t>Plant Construction Co</t>
  </si>
  <si>
    <t>JC
Park</t>
  </si>
  <si>
    <t>HMS Associates</t>
  </si>
  <si>
    <t>Gary Bell and Associates Inc</t>
  </si>
  <si>
    <t xml:space="preserve">Office of Cheryl Barton </t>
  </si>
  <si>
    <t>Hood Design Studio Inc</t>
  </si>
  <si>
    <t>Townsend Management Inc</t>
  </si>
  <si>
    <t>Taft Electric</t>
  </si>
  <si>
    <t>ERA Co</t>
  </si>
  <si>
    <t>Andrea Cochran Landscape Architecture</t>
  </si>
  <si>
    <t>Uptick Strategic Advisors</t>
  </si>
  <si>
    <t>DPFG</t>
  </si>
  <si>
    <t xml:space="preserve">Moffatt &amp; Nichol </t>
  </si>
  <si>
    <t>Total Stage 1 2022 Change Orders</t>
  </si>
  <si>
    <t>Total Stage 1 2022 Committed</t>
  </si>
  <si>
    <t>2022 Stage 2 SBE Reporting</t>
  </si>
  <si>
    <t>Stage 2 Summary</t>
  </si>
  <si>
    <t>Freyer &amp; Laureta Inc</t>
  </si>
  <si>
    <t>S2 SIP</t>
  </si>
  <si>
    <t>Gary Bell and Associates</t>
  </si>
  <si>
    <t>Gas Reg Perm Demo</t>
  </si>
  <si>
    <t>Ferry
Land</t>
  </si>
  <si>
    <t>PROPSF</t>
  </si>
  <si>
    <t>Ferry Operations</t>
  </si>
  <si>
    <t>Desilva Gates</t>
  </si>
  <si>
    <t>WWTP Geotech</t>
  </si>
  <si>
    <t>Keller North America</t>
  </si>
  <si>
    <t>S2 Geo</t>
  </si>
  <si>
    <t>Alfa Tech</t>
  </si>
  <si>
    <t>S2 Master</t>
  </si>
  <si>
    <t>Stage 2</t>
  </si>
  <si>
    <t>12KV Electric Upgrade</t>
  </si>
  <si>
    <t>S2 CutCap</t>
  </si>
  <si>
    <t>Rubicon Enterprises</t>
  </si>
  <si>
    <t>WRA</t>
  </si>
  <si>
    <t>Ferry Water</t>
  </si>
  <si>
    <t>Jafec USA Inc</t>
  </si>
  <si>
    <t>Power Engineering Construction Co</t>
  </si>
  <si>
    <t>Dreyfuss &amp; Blackford Architecture</t>
  </si>
  <si>
    <t>Ferry Restrooms</t>
  </si>
  <si>
    <t>2022 Stage3-5&amp;Exp SBE Reporting</t>
  </si>
  <si>
    <t>Stages 3-5 &amp; Exp Summary</t>
  </si>
  <si>
    <t>Q10 Building</t>
  </si>
  <si>
    <t>Freyer &amp; Laureta</t>
  </si>
  <si>
    <t>S3 Master</t>
  </si>
  <si>
    <t>Alan Tse Design</t>
  </si>
  <si>
    <t>S3 Geo</t>
  </si>
  <si>
    <t>S3 SIP</t>
  </si>
  <si>
    <t>S3 Parks</t>
  </si>
  <si>
    <t>Terraphase</t>
  </si>
  <si>
    <t>S3 CutCap</t>
  </si>
  <si>
    <t>BCV Architects</t>
  </si>
  <si>
    <t>Chapel</t>
  </si>
  <si>
    <t>Building 1</t>
  </si>
  <si>
    <t>Stage 3-5&amp;Experiences</t>
  </si>
  <si>
    <t>Novo Construction</t>
  </si>
  <si>
    <t>Total Stage3-5&amp;Exp 2022 Change Orders</t>
  </si>
  <si>
    <t>Total Stage3-5&amp;Exp 2022 Committed</t>
  </si>
  <si>
    <t>Cost Center Name</t>
  </si>
  <si>
    <t>Cost Center #</t>
  </si>
  <si>
    <t>Responsible PM</t>
  </si>
  <si>
    <t>Project</t>
  </si>
  <si>
    <t>PM Tool Order</t>
  </si>
  <si>
    <t>Cost Co</t>
  </si>
  <si>
    <t>Cost Type</t>
  </si>
  <si>
    <t>Company Code</t>
  </si>
  <si>
    <t>Company Name</t>
  </si>
  <si>
    <t>5154165</t>
  </si>
  <si>
    <t>Magda</t>
  </si>
  <si>
    <t>2199</t>
  </si>
  <si>
    <t>Hard</t>
  </si>
  <si>
    <t>Treasure Island Community Development, LLC</t>
  </si>
  <si>
    <t>TI Geo</t>
  </si>
  <si>
    <t>5154157</t>
  </si>
  <si>
    <t>2065</t>
  </si>
  <si>
    <t>Soft</t>
  </si>
  <si>
    <t>Treasure Island Series 1, LLC</t>
  </si>
  <si>
    <t>5154156</t>
  </si>
  <si>
    <t>2045</t>
  </si>
  <si>
    <t>Treasure Island Series 2, LLC</t>
  </si>
  <si>
    <t>5154180</t>
  </si>
  <si>
    <t>2751</t>
  </si>
  <si>
    <t>Treasure Island Development Group, LLC</t>
  </si>
  <si>
    <t>5154170</t>
  </si>
  <si>
    <t>Mikael, Chris</t>
  </si>
  <si>
    <t>2227</t>
  </si>
  <si>
    <t>Treasure Island Series 3, LLC</t>
  </si>
  <si>
    <t>5154158</t>
  </si>
  <si>
    <t>Sean</t>
  </si>
  <si>
    <t>2080</t>
  </si>
  <si>
    <t>TICD Experiences, LLC</t>
  </si>
  <si>
    <t>JC Sanitary sewer pump station</t>
  </si>
  <si>
    <t>5154159</t>
  </si>
  <si>
    <t>2085</t>
  </si>
  <si>
    <t>Treasure Island Series 4, LLC</t>
  </si>
  <si>
    <t>5154169</t>
  </si>
  <si>
    <t>2221</t>
  </si>
  <si>
    <t>Treasure Island Series 5, LLC</t>
  </si>
  <si>
    <t>5154187</t>
  </si>
  <si>
    <t>3201</t>
  </si>
  <si>
    <t>5154166</t>
  </si>
  <si>
    <t>2201</t>
  </si>
  <si>
    <t>5154162</t>
  </si>
  <si>
    <t>2133</t>
  </si>
  <si>
    <t>5154167</t>
  </si>
  <si>
    <t>2207</t>
  </si>
  <si>
    <t>YBI
Trails</t>
  </si>
  <si>
    <t>5154188</t>
  </si>
  <si>
    <t>3203</t>
  </si>
  <si>
    <t>5154184</t>
  </si>
  <si>
    <t>2870</t>
  </si>
  <si>
    <t>5154186</t>
  </si>
  <si>
    <t>3001</t>
  </si>
  <si>
    <t>Bldg 1
Plaza</t>
  </si>
  <si>
    <t>5154161</t>
  </si>
  <si>
    <t>2103</t>
  </si>
  <si>
    <t>5154164</t>
  </si>
  <si>
    <t>2190</t>
  </si>
  <si>
    <t>Clipper
Cove</t>
  </si>
  <si>
    <t>5154163</t>
  </si>
  <si>
    <t>2151</t>
  </si>
  <si>
    <t>5154160</t>
  </si>
  <si>
    <t>2090</t>
  </si>
  <si>
    <t>Literacy for Env. Justice</t>
  </si>
  <si>
    <t>5154183</t>
  </si>
  <si>
    <t>2860</t>
  </si>
  <si>
    <t>Nursery</t>
  </si>
  <si>
    <t>5154168</t>
  </si>
  <si>
    <t>2217</t>
  </si>
  <si>
    <t>Vertical
SD</t>
  </si>
  <si>
    <t>5154171</t>
  </si>
  <si>
    <t>2279</t>
  </si>
  <si>
    <t>C2.1</t>
  </si>
  <si>
    <t>5154174</t>
  </si>
  <si>
    <t>2652</t>
  </si>
  <si>
    <t>C2.2</t>
  </si>
  <si>
    <t>5154175</t>
  </si>
  <si>
    <t>2658</t>
  </si>
  <si>
    <t>C2.3</t>
  </si>
  <si>
    <t>5154176</t>
  </si>
  <si>
    <t>2660</t>
  </si>
  <si>
    <t>C2.4</t>
  </si>
  <si>
    <t>5154177</t>
  </si>
  <si>
    <t>2735</t>
  </si>
  <si>
    <t>C3.4</t>
  </si>
  <si>
    <t>5154178</t>
  </si>
  <si>
    <t>2745</t>
  </si>
  <si>
    <t>B1</t>
  </si>
  <si>
    <t>5154172</t>
  </si>
  <si>
    <t>2333</t>
  </si>
  <si>
    <t>C1</t>
  </si>
  <si>
    <t>2651</t>
  </si>
  <si>
    <t>C3.5</t>
  </si>
  <si>
    <t>5154179</t>
  </si>
  <si>
    <t>2749</t>
  </si>
  <si>
    <t>YBI Completed Demo</t>
  </si>
  <si>
    <t>5154190</t>
  </si>
  <si>
    <t>3325</t>
  </si>
  <si>
    <t>TI Completed Demo</t>
  </si>
  <si>
    <t>5154189</t>
  </si>
  <si>
    <t>3279</t>
  </si>
  <si>
    <t>Ferry
Water</t>
  </si>
  <si>
    <t>5154220</t>
  </si>
  <si>
    <t>Rob</t>
  </si>
  <si>
    <t>Ferry</t>
  </si>
  <si>
    <t>3360</t>
  </si>
  <si>
    <t>5154221</t>
  </si>
  <si>
    <t>3515</t>
  </si>
  <si>
    <t>5154239</t>
  </si>
  <si>
    <t>2255</t>
  </si>
  <si>
    <t>Outdated</t>
  </si>
  <si>
    <t>5154270</t>
  </si>
  <si>
    <t>3351</t>
  </si>
  <si>
    <t>5154210</t>
  </si>
  <si>
    <t>Sean, Mikael, Levi</t>
  </si>
  <si>
    <t>3354</t>
  </si>
  <si>
    <t>5154228</t>
  </si>
  <si>
    <t>2131</t>
  </si>
  <si>
    <t>5154236</t>
  </si>
  <si>
    <t>406201</t>
  </si>
  <si>
    <t>5154229</t>
  </si>
  <si>
    <t>2143</t>
  </si>
  <si>
    <t>S2 Parks</t>
  </si>
  <si>
    <t>5154230</t>
  </si>
  <si>
    <t>3570</t>
  </si>
  <si>
    <t>5154222</t>
  </si>
  <si>
    <t>Mikael, Levi</t>
  </si>
  <si>
    <t>South Shoreline</t>
  </si>
  <si>
    <t>3552</t>
  </si>
  <si>
    <t>WWTP Demo</t>
  </si>
  <si>
    <t>5154223</t>
  </si>
  <si>
    <t>3775</t>
  </si>
  <si>
    <t>5154224</t>
  </si>
  <si>
    <t>3785</t>
  </si>
  <si>
    <t>Gas Int Upgrade</t>
  </si>
  <si>
    <t>5154225</t>
  </si>
  <si>
    <t>3786</t>
  </si>
  <si>
    <t>Gas Reg Perm Geotech</t>
  </si>
  <si>
    <t>5154226</t>
  </si>
  <si>
    <t>3800</t>
  </si>
  <si>
    <t>5154227</t>
  </si>
  <si>
    <t>2008</t>
  </si>
  <si>
    <t>5158021</t>
  </si>
  <si>
    <t>Danielle</t>
  </si>
  <si>
    <t>Experiences</t>
  </si>
  <si>
    <t>3010</t>
  </si>
  <si>
    <t>5158022</t>
  </si>
  <si>
    <t>4820</t>
  </si>
  <si>
    <t>5158023</t>
  </si>
  <si>
    <t>4090</t>
  </si>
  <si>
    <t>Smarket</t>
  </si>
  <si>
    <t>5158024</t>
  </si>
  <si>
    <t>5154410</t>
  </si>
  <si>
    <t>Stage 3</t>
  </si>
  <si>
    <t>2980</t>
  </si>
  <si>
    <t>5154436</t>
  </si>
  <si>
    <t>2161</t>
  </si>
  <si>
    <t>5154428</t>
  </si>
  <si>
    <t>3190</t>
  </si>
  <si>
    <t>5154429</t>
  </si>
  <si>
    <t>2742</t>
  </si>
  <si>
    <t>5154430</t>
  </si>
  <si>
    <t>2234</t>
  </si>
  <si>
    <t>Stage 4 Master</t>
  </si>
  <si>
    <t>5158110</t>
  </si>
  <si>
    <t>Stage 4</t>
  </si>
  <si>
    <t>Stage 4 Cutcap</t>
  </si>
  <si>
    <t>5158136</t>
  </si>
  <si>
    <t>Stage 4 SIP</t>
  </si>
  <si>
    <t>5158129</t>
  </si>
  <si>
    <t>Stage 4 Parks</t>
  </si>
  <si>
    <t>5158130</t>
  </si>
  <si>
    <t>Stage 4 Geo</t>
  </si>
  <si>
    <t>5158128</t>
  </si>
  <si>
    <t>Stage 5 Master</t>
  </si>
  <si>
    <t>5158210</t>
  </si>
  <si>
    <t>Stage 5</t>
  </si>
  <si>
    <t>Stage 5 Cutcap</t>
  </si>
  <si>
    <t>5158236</t>
  </si>
  <si>
    <t>Stage 5 Geo</t>
  </si>
  <si>
    <t>5158228</t>
  </si>
  <si>
    <t>Stage 5 SIP</t>
  </si>
  <si>
    <t>5158229</t>
  </si>
  <si>
    <t>Stage 5 Parks</t>
  </si>
  <si>
    <t>5158230</t>
  </si>
  <si>
    <t>(RETIRED) FerryWater</t>
  </si>
  <si>
    <t>5154181</t>
  </si>
  <si>
    <t>2851</t>
  </si>
  <si>
    <t>S2 Demo</t>
  </si>
  <si>
    <t>5154235</t>
  </si>
  <si>
    <t>2128</t>
  </si>
  <si>
    <t>CMG</t>
  </si>
  <si>
    <t>C</t>
  </si>
  <si>
    <t>DSG</t>
  </si>
  <si>
    <t>Jensen Landscape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</si>
</sst>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#,##0.0%_);\(#,##0.0%\);_(&quot;–&quot;_)_%;_(@_)_%"/>
    <numFmt numFmtId="165" formatCode="_(&quot;$&quot;* #,##0_);_(&quot;$&quot;* \(#,##0\);_(&quot;$&quot;* &quot;-&quot;??_);_(@_)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i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0" applyNumberFormat="1"/>
    <xf numFmtId="44" fontId="3" fillId="0" borderId="0" xfId="0" applyNumberFormat="1" applyFont="1"/>
    <xf numFmtId="0" fontId="2" fillId="0" borderId="0" xfId="0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1" xfId="0" applyFont="1" applyBorder="1"/>
    <xf numFmtId="0" fontId="1" fillId="0" borderId="0" xfId="5"/>
    <xf numFmtId="14" fontId="3" fillId="0" borderId="0" xfId="0" applyNumberFormat="1" applyFont="1"/>
    <xf numFmtId="44" fontId="2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5" applyFont="1"/>
    <xf numFmtId="44" fontId="2" fillId="2" borderId="0" xfId="0" applyNumberFormat="1" applyFont="1" applyFill="1"/>
    <xf numFmtId="49" fontId="2" fillId="0" borderId="1" xfId="1" applyNumberFormat="1" applyFont="1" applyBorder="1"/>
    <xf numFmtId="0" fontId="2" fillId="0" borderId="1" xfId="1" applyFont="1" applyBorder="1"/>
    <xf numFmtId="44" fontId="2" fillId="0" borderId="1" xfId="1" applyNumberFormat="1" applyFont="1" applyBorder="1"/>
    <xf numFmtId="0" fontId="2" fillId="0" borderId="2" xfId="5" applyFont="1" applyBorder="1"/>
    <xf numFmtId="0" fontId="2" fillId="0" borderId="2" xfId="0" applyFont="1" applyBorder="1"/>
    <xf numFmtId="44" fontId="2" fillId="0" borderId="2" xfId="0" applyNumberFormat="1" applyFont="1" applyBorder="1"/>
    <xf numFmtId="0" fontId="2" fillId="0" borderId="1" xfId="2" applyFont="1" applyBorder="1"/>
    <xf numFmtId="44" fontId="2" fillId="0" borderId="1" xfId="0" applyNumberFormat="1" applyFont="1" applyBorder="1"/>
    <xf numFmtId="0" fontId="4" fillId="0" borderId="0" xfId="0" applyFont="1"/>
    <xf numFmtId="0" fontId="0" fillId="2" borderId="0" xfId="0" applyFill="1"/>
    <xf numFmtId="49" fontId="0" fillId="0" borderId="0" xfId="0" applyNumberFormat="1"/>
    <xf numFmtId="0" fontId="5" fillId="0" borderId="0" xfId="7"/>
    <xf numFmtId="0" fontId="1" fillId="0" borderId="0" xfId="8"/>
    <xf numFmtId="0" fontId="0" fillId="3" borderId="0" xfId="0" applyFill="1"/>
    <xf numFmtId="14" fontId="0" fillId="0" borderId="0" xfId="0" applyNumberFormat="1"/>
    <xf numFmtId="49" fontId="0" fillId="2" borderId="0" xfId="0" applyNumberFormat="1" applyFill="1"/>
    <xf numFmtId="49" fontId="0" fillId="3" borderId="0" xfId="0" applyNumberFormat="1" applyFill="1"/>
    <xf numFmtId="0" fontId="2" fillId="0" borderId="0" xfId="0" applyFont="1" applyAlignment="1">
      <alignment horizontal="left"/>
    </xf>
    <xf numFmtId="44" fontId="2" fillId="0" borderId="0" xfId="0" applyNumberFormat="1" applyFont="1" applyAlignment="1">
      <alignment horizontal="left"/>
    </xf>
    <xf numFmtId="0" fontId="1" fillId="0" borderId="0" xfId="9"/>
    <xf numFmtId="0" fontId="1" fillId="4" borderId="0" xfId="5" applyFill="1"/>
    <xf numFmtId="44" fontId="0" fillId="4" borderId="0" xfId="0" applyNumberFormat="1" applyFill="1"/>
    <xf numFmtId="0" fontId="6" fillId="4" borderId="0" xfId="5" applyFont="1" applyFill="1"/>
    <xf numFmtId="44" fontId="6" fillId="4" borderId="0" xfId="0" applyNumberFormat="1" applyFont="1" applyFill="1"/>
    <xf numFmtId="0" fontId="0" fillId="4" borderId="0" xfId="0" applyFill="1"/>
    <xf numFmtId="49" fontId="1" fillId="4" borderId="0" xfId="1" applyNumberFormat="1" applyFill="1"/>
    <xf numFmtId="0" fontId="1" fillId="4" borderId="0" xfId="1" applyFill="1"/>
    <xf numFmtId="44" fontId="1" fillId="4" borderId="0" xfId="1" applyNumberFormat="1" applyFill="1"/>
    <xf numFmtId="0" fontId="1" fillId="4" borderId="0" xfId="2" applyFill="1"/>
    <xf numFmtId="0" fontId="1" fillId="4" borderId="0" xfId="3" applyFill="1"/>
    <xf numFmtId="164" fontId="0" fillId="0" borderId="0" xfId="0" applyNumberFormat="1"/>
    <xf numFmtId="4" fontId="1" fillId="0" borderId="0" xfId="9" applyNumberFormat="1"/>
    <xf numFmtId="0" fontId="1" fillId="4" borderId="0" xfId="6" applyFill="1"/>
    <xf numFmtId="44" fontId="0" fillId="4" borderId="0" xfId="0" applyNumberFormat="1" applyFill="1" applyAlignment="1">
      <alignment horizontal="center"/>
    </xf>
    <xf numFmtId="0" fontId="2" fillId="0" borderId="0" xfId="2" applyFont="1"/>
    <xf numFmtId="0" fontId="1" fillId="0" borderId="0" xfId="3"/>
    <xf numFmtId="0" fontId="1" fillId="0" borderId="0" xfId="2"/>
    <xf numFmtId="0" fontId="6" fillId="0" borderId="0" xfId="5" applyFont="1"/>
    <xf numFmtId="49" fontId="1" fillId="0" borderId="0" xfId="1" applyNumberFormat="1"/>
    <xf numFmtId="0" fontId="1" fillId="0" borderId="0" xfId="6"/>
    <xf numFmtId="44" fontId="7" fillId="0" borderId="0" xfId="0" applyNumberFormat="1" applyFont="1" applyAlignment="1">
      <alignment horizontal="center"/>
    </xf>
    <xf numFmtId="44" fontId="8" fillId="0" borderId="0" xfId="0" applyNumberFormat="1" applyFont="1" applyAlignment="1">
      <alignment horizontal="center"/>
    </xf>
    <xf numFmtId="165" fontId="0" fillId="0" borderId="0" xfId="10" applyNumberFormat="1" applyFont="1"/>
    <xf numFmtId="165" fontId="0" fillId="0" borderId="0" xfId="0" applyNumberFormat="1"/>
    <xf numFmtId="165" fontId="0" fillId="0" borderId="0" xfId="10" applyNumberFormat="1" applyFont="1" applyBorder="1"/>
    <xf numFmtId="0" fontId="0" fillId="0" borderId="3" xfId="0" applyBorder="1"/>
    <xf numFmtId="0" fontId="3" fillId="0" borderId="3" xfId="0" applyFont="1" applyBorder="1"/>
    <xf numFmtId="0" fontId="9" fillId="0" borderId="0" xfId="0" applyFont="1"/>
    <xf numFmtId="0" fontId="9" fillId="0" borderId="3" xfId="0" applyFont="1" applyBorder="1"/>
    <xf numFmtId="165" fontId="0" fillId="0" borderId="3" xfId="0" applyNumberFormat="1" applyBorder="1"/>
    <xf numFmtId="164" fontId="3" fillId="0" borderId="3" xfId="0" applyNumberFormat="1" applyFont="1" applyBorder="1"/>
    <xf numFmtId="164" fontId="9" fillId="0" borderId="3" xfId="0" applyNumberFormat="1" applyFont="1" applyBorder="1"/>
    <xf numFmtId="164" fontId="9" fillId="2" borderId="0" xfId="0" applyNumberFormat="1" applyFont="1" applyFill="1"/>
    <xf numFmtId="164" fontId="3" fillId="2" borderId="0" xfId="0" applyNumberFormat="1" applyFont="1" applyFill="1"/>
    <xf numFmtId="0" fontId="8" fillId="0" borderId="0" xfId="0" applyFont="1"/>
    <xf numFmtId="0" fontId="7" fillId="0" borderId="0" xfId="0" applyFont="1"/>
    <xf numFmtId="0" fontId="8" fillId="0" borderId="4" xfId="0" applyFont="1" applyBorder="1"/>
    <xf numFmtId="164" fontId="9" fillId="2" borderId="4" xfId="0" applyNumberFormat="1" applyFont="1" applyFill="1" applyBorder="1"/>
    <xf numFmtId="164" fontId="9" fillId="0" borderId="5" xfId="0" applyNumberFormat="1" applyFont="1" applyBorder="1"/>
    <xf numFmtId="0" fontId="7" fillId="0" borderId="4" xfId="0" applyFont="1" applyBorder="1"/>
    <xf numFmtId="164" fontId="3" fillId="2" borderId="4" xfId="0" applyNumberFormat="1" applyFont="1" applyFill="1" applyBorder="1"/>
    <xf numFmtId="164" fontId="3" fillId="0" borderId="5" xfId="0" applyNumberFormat="1" applyFont="1" applyBorder="1"/>
    <xf numFmtId="9" fontId="0" fillId="0" borderId="0" xfId="11" applyFont="1"/>
    <xf numFmtId="9" fontId="0" fillId="0" borderId="0" xfId="11" applyFont="1" applyAlignment="1">
      <alignment horizontal="left"/>
    </xf>
    <xf numFmtId="9" fontId="2" fillId="0" borderId="0" xfId="11" applyFont="1" applyAlignment="1">
      <alignment horizontal="left"/>
    </xf>
    <xf numFmtId="9" fontId="3" fillId="0" borderId="0" xfId="11" applyFont="1" applyAlignment="1">
      <alignment horizontal="left"/>
    </xf>
    <xf numFmtId="0" fontId="0" fillId="0" borderId="6" xfId="0" applyBorder="1"/>
    <xf numFmtId="0" fontId="2" fillId="0" borderId="6" xfId="0" applyFont="1" applyBorder="1"/>
    <xf numFmtId="165" fontId="0" fillId="0" borderId="6" xfId="0" applyNumberFormat="1" applyBorder="1"/>
    <xf numFmtId="164" fontId="0" fillId="0" borderId="6" xfId="0" applyNumberFormat="1" applyBorder="1"/>
    <xf numFmtId="9" fontId="0" fillId="0" borderId="6" xfId="0" applyNumberFormat="1" applyBorder="1"/>
    <xf numFmtId="9" fontId="0" fillId="0" borderId="0" xfId="11" applyFont="1" applyFill="1" applyAlignment="1">
      <alignment horizontal="left"/>
    </xf>
    <xf numFmtId="166" fontId="0" fillId="0" borderId="0" xfId="10" applyNumberFormat="1" applyFont="1"/>
    <xf numFmtId="164" fontId="3" fillId="0" borderId="0" xfId="0" applyNumberFormat="1" applyFont="1"/>
    <xf numFmtId="0" fontId="0" fillId="0" borderId="0" xfId="0" applyAlignment="1">
      <alignment horizontal="right"/>
    </xf>
    <xf numFmtId="0" fontId="2" fillId="4" borderId="0" xfId="0" applyFont="1" applyFill="1"/>
    <xf numFmtId="9" fontId="0" fillId="0" borderId="0" xfId="11" applyFont="1" applyAlignment="1">
      <alignment horizontal="center"/>
    </xf>
    <xf numFmtId="9" fontId="2" fillId="0" borderId="0" xfId="11" applyFont="1" applyFill="1" applyAlignment="1">
      <alignment horizontal="left"/>
    </xf>
    <xf numFmtId="9" fontId="0" fillId="0" borderId="0" xfId="11" applyFont="1" applyFill="1"/>
    <xf numFmtId="9" fontId="3" fillId="0" borderId="0" xfId="11" applyFont="1" applyFill="1" applyAlignment="1">
      <alignment horizontal="left"/>
    </xf>
    <xf numFmtId="165" fontId="0" fillId="0" borderId="0" xfId="11" applyNumberFormat="1" applyFont="1" applyFill="1" applyAlignment="1">
      <alignment horizontal="left"/>
    </xf>
    <xf numFmtId="165" fontId="0" fillId="0" borderId="0" xfId="11" applyNumberFormat="1" applyFont="1" applyFill="1"/>
    <xf numFmtId="9" fontId="0" fillId="0" borderId="0" xfId="11" applyFont="1" applyFill="1" applyBorder="1" applyAlignment="1">
      <alignment horizontal="center"/>
    </xf>
    <xf numFmtId="9" fontId="0" fillId="0" borderId="0" xfId="11" applyFont="1" applyFill="1" applyBorder="1"/>
    <xf numFmtId="165" fontId="0" fillId="0" borderId="0" xfId="10" applyNumberFormat="1" applyFont="1" applyFill="1" applyBorder="1"/>
    <xf numFmtId="9" fontId="0" fillId="0" borderId="0" xfId="11" applyFont="1" applyFill="1" applyBorder="1" applyAlignment="1">
      <alignment horizontal="left"/>
    </xf>
    <xf numFmtId="2" fontId="0" fillId="0" borderId="0" xfId="0" applyNumberFormat="1"/>
  </cellXfs>
  <cellStyles count="12">
    <cellStyle name="Comma" xfId="10" builtinId="3"/>
    <cellStyle name="Comma 12" xfId="4" xr:uid="{60D7FD74-6F83-439F-8D0F-DB0E4CD64B73}"/>
    <cellStyle name="Normal" xfId="0" builtinId="0"/>
    <cellStyle name="Normal 15" xfId="3" xr:uid="{301060E1-8544-47E3-AA3A-95443B05B938}"/>
    <cellStyle name="Normal 16" xfId="6" xr:uid="{D18C6E25-E59A-457E-8E0D-54EE8236AA72}"/>
    <cellStyle name="Normal 17" xfId="1" xr:uid="{49BF8278-E53C-431D-B75B-C77CEF1B353D}"/>
    <cellStyle name="Normal 18" xfId="2" xr:uid="{2C378712-0BDE-48A7-B8C9-281B543C9254}"/>
    <cellStyle name="Normal 19" xfId="5" xr:uid="{362CD65C-E590-49CC-B101-860FF4310DF1}"/>
    <cellStyle name="Normal 21" xfId="9" xr:uid="{379564D4-907E-4F1D-A9FA-5F2DB5533A28}"/>
    <cellStyle name="Normal 4" xfId="8" xr:uid="{E142B8F6-686D-466B-815E-289E3E9E8883}"/>
    <cellStyle name="Normal 5" xfId="7" xr:uid="{8CC41C24-BAA7-48A7-8ADE-DA1420399FB9}"/>
    <cellStyle name="Percent" xfId="1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Hunter Cook" id="{83B7F19A-A25A-4613-BAD0-68A1E430E873}" userId="S::hunter.cook@lennar.com::0d3331de-e783-4d3c-821d-d06a7503089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46" dT="2023-02-07T19:27:18.47" personId="{83B7F19A-A25A-4613-BAD0-68A1E430E873}" id="{C3805DD3-12C0-432A-A85B-98191174936C}">
    <text>This amount is inclusive of deductive change orders and scope reconciliation - SBE figures are based from a total of $2,111,001.75 (exclusive of deductions)</text>
  </threadedComment>
  <threadedComment ref="F47" dT="2023-02-07T19:27:18.47" personId="{83B7F19A-A25A-4613-BAD0-68A1E430E873}" id="{CFCD5FD1-26A3-4B95-95A7-F28318F114AF}">
    <text>This amount is inclusive of deductive change orders and scope reconciliation - SBE figures are based from a total of $2,111,001.75 (exclusive of deductions)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DA1A0-7B5A-40F7-B66B-7C73B79A8445}">
  <dimension ref="A2:N50"/>
  <sheetViews>
    <sheetView topLeftCell="A4" workbookViewId="0">
      <selection activeCell="B32" sqref="B32:E38"/>
    </sheetView>
  </sheetViews>
  <sheetFormatPr defaultRowHeight="14.5" x14ac:dyDescent="0.35"/>
  <cols>
    <col min="1" max="1" width="6.453125" style="88" customWidth="1"/>
    <col min="2" max="2" width="29.453125" customWidth="1"/>
    <col min="3" max="3" width="3.26953125" customWidth="1"/>
    <col min="4" max="4" width="17.81640625" bestFit="1" customWidth="1"/>
    <col min="5" max="5" width="14.54296875" bestFit="1" customWidth="1"/>
    <col min="6" max="6" width="13" bestFit="1" customWidth="1"/>
    <col min="7" max="8" width="13.7265625" bestFit="1" customWidth="1"/>
    <col min="10" max="10" width="13.7265625" bestFit="1" customWidth="1"/>
    <col min="11" max="11" width="12.453125" bestFit="1" customWidth="1"/>
    <col min="13" max="13" width="7.81640625" customWidth="1"/>
    <col min="14" max="14" width="19.26953125" style="90" customWidth="1"/>
  </cols>
  <sheetData>
    <row r="2" spans="1:14" x14ac:dyDescent="0.35">
      <c r="A2" s="88" t="s">
        <v>0</v>
      </c>
      <c r="B2" s="1" t="s">
        <v>1</v>
      </c>
      <c r="I2" s="3"/>
      <c r="J2" s="3"/>
      <c r="K2" s="3"/>
    </row>
    <row r="3" spans="1:14" x14ac:dyDescent="0.35">
      <c r="D3" s="54" t="s">
        <v>2</v>
      </c>
      <c r="E3" s="54" t="s">
        <v>3</v>
      </c>
      <c r="F3" s="54" t="s">
        <v>4</v>
      </c>
      <c r="G3" s="54" t="s">
        <v>5</v>
      </c>
      <c r="H3" s="54" t="s">
        <v>6</v>
      </c>
      <c r="I3" s="73" t="s">
        <v>7</v>
      </c>
      <c r="J3" s="69" t="s">
        <v>8</v>
      </c>
      <c r="K3" s="3" t="s">
        <v>9</v>
      </c>
      <c r="N3" s="90" t="s">
        <v>10</v>
      </c>
    </row>
    <row r="4" spans="1:14" x14ac:dyDescent="0.35">
      <c r="B4" s="2" t="s">
        <v>11</v>
      </c>
      <c r="D4" s="56">
        <f>'Stage 1'!E8+'Stage 2'!E8+'Stage3-5&amp;Exp'!E8+72710+5340</f>
        <v>7766010.3900000006</v>
      </c>
      <c r="E4" s="56">
        <f>'Stage 1'!F8+'Stage 2'!F8+'Stage3-5&amp;Exp'!F8</f>
        <v>3220697.5</v>
      </c>
      <c r="F4" s="56">
        <f>'Stage 1'!G8+'Stage 2'!G8+'Stage3-5&amp;Exp'!G8</f>
        <v>269012</v>
      </c>
      <c r="G4" s="57">
        <f>SUM(E4:F4)</f>
        <v>3489709.5</v>
      </c>
      <c r="H4" s="57">
        <f t="shared" ref="H4" si="0">D4-G4</f>
        <v>4276300.8900000006</v>
      </c>
      <c r="I4" s="74">
        <f>E4/D4</f>
        <v>0.41471712478612843</v>
      </c>
      <c r="J4" s="67">
        <f>F4/D4</f>
        <v>3.4639665219402309E-2</v>
      </c>
      <c r="K4" s="67">
        <f>G4/D4</f>
        <v>0.44935679000553069</v>
      </c>
      <c r="N4" s="90">
        <f>E4/G4</f>
        <v>0.92291278113550712</v>
      </c>
    </row>
    <row r="5" spans="1:14" x14ac:dyDescent="0.35">
      <c r="B5" s="2" t="s">
        <v>12</v>
      </c>
      <c r="D5" s="58">
        <f>'Stage 1'!E9+'Stage 2'!E9+'Stage3-5&amp;Exp'!E9</f>
        <v>34145466.389999993</v>
      </c>
      <c r="E5" s="58">
        <f>'Stage 1'!F9+'Stage 2'!F9+'Stage3-5&amp;Exp'!F9</f>
        <v>6640679</v>
      </c>
      <c r="F5" s="58">
        <f>'Stage 1'!G9+'Stage 2'!G9+'Stage3-5&amp;Exp'!G9</f>
        <v>2776022.52</v>
      </c>
      <c r="G5" s="58">
        <f>'Stage 1'!H9+'Stage 2'!H9+'Stage3-5&amp;Exp'!H9</f>
        <v>9416701.5199999996</v>
      </c>
      <c r="H5" s="58">
        <f>'Stage 1'!I9+'Stage 2'!I9+'Stage3-5&amp;Exp'!I9</f>
        <v>24728764.869999994</v>
      </c>
      <c r="I5" s="74">
        <f>E5/D5</f>
        <v>0.19448201187683356</v>
      </c>
      <c r="J5" s="67">
        <f>F5/D5</f>
        <v>8.1299885855798393E-2</v>
      </c>
      <c r="K5" s="67">
        <f>G5/D5</f>
        <v>0.27578189773263195</v>
      </c>
      <c r="N5" s="90">
        <f>E5/G5</f>
        <v>0.70520223943553439</v>
      </c>
    </row>
    <row r="6" spans="1:14" x14ac:dyDescent="0.35">
      <c r="B6" s="60" t="s">
        <v>13</v>
      </c>
      <c r="C6" s="59"/>
      <c r="D6" s="63">
        <f>SUM(D4:D5)</f>
        <v>41911476.779999994</v>
      </c>
      <c r="E6" s="63">
        <f t="shared" ref="E6:H6" si="1">SUM(E4:E5)</f>
        <v>9861376.5</v>
      </c>
      <c r="F6" s="63">
        <f t="shared" si="1"/>
        <v>3045034.52</v>
      </c>
      <c r="G6" s="63">
        <f t="shared" si="1"/>
        <v>12906411.02</v>
      </c>
      <c r="H6" s="63">
        <f t="shared" si="1"/>
        <v>29005065.759999994</v>
      </c>
      <c r="I6" s="75">
        <f>E6/D6</f>
        <v>0.23529059955973236</v>
      </c>
      <c r="J6" s="64">
        <f>F6/D6</f>
        <v>7.2653954332935353E-2</v>
      </c>
      <c r="K6" s="64">
        <f>G6/D6</f>
        <v>0.30794455389266773</v>
      </c>
      <c r="N6" s="90">
        <f>E6/G6</f>
        <v>0.7640680654535672</v>
      </c>
    </row>
    <row r="7" spans="1:14" x14ac:dyDescent="0.35">
      <c r="E7" s="76"/>
    </row>
    <row r="8" spans="1:14" x14ac:dyDescent="0.35">
      <c r="A8" s="88" t="s">
        <v>14</v>
      </c>
      <c r="B8" s="1" t="s">
        <v>15</v>
      </c>
      <c r="D8" s="57"/>
    </row>
    <row r="9" spans="1:14" x14ac:dyDescent="0.35">
      <c r="D9" s="54" t="s">
        <v>2</v>
      </c>
      <c r="E9" s="54" t="s">
        <v>3</v>
      </c>
      <c r="F9" s="54" t="s">
        <v>4</v>
      </c>
      <c r="G9" s="54" t="s">
        <v>5</v>
      </c>
      <c r="H9" s="54" t="s">
        <v>6</v>
      </c>
      <c r="I9" s="73" t="s">
        <v>7</v>
      </c>
      <c r="J9" s="69" t="s">
        <v>8</v>
      </c>
      <c r="K9" s="3" t="s">
        <v>9</v>
      </c>
    </row>
    <row r="10" spans="1:14" x14ac:dyDescent="0.35">
      <c r="B10" s="2" t="s">
        <v>11</v>
      </c>
      <c r="D10" s="56">
        <f>63454738+55204629</f>
        <v>118659367</v>
      </c>
      <c r="E10" s="56">
        <f>28599812+24881389</f>
        <v>53481201</v>
      </c>
      <c r="F10" s="56">
        <f>G10-E10</f>
        <v>2320682</v>
      </c>
      <c r="G10" s="57">
        <f>29840829+25961054</f>
        <v>55801883</v>
      </c>
      <c r="H10" s="57">
        <f>D10-G10</f>
        <v>62857484</v>
      </c>
      <c r="I10" s="74">
        <f>E10/D10</f>
        <v>0.45071200320830973</v>
      </c>
      <c r="J10" s="67">
        <f>F10/D10</f>
        <v>1.9557512050439305E-2</v>
      </c>
      <c r="K10" s="67">
        <f>G10/D10</f>
        <v>0.47026951525874899</v>
      </c>
    </row>
    <row r="11" spans="1:14" x14ac:dyDescent="0.35">
      <c r="B11" s="2" t="s">
        <v>12</v>
      </c>
      <c r="D11" s="58">
        <f>353083030+14647800</f>
        <v>367730830</v>
      </c>
      <c r="E11" s="58">
        <f>131974695+5475026</f>
        <v>137449721</v>
      </c>
      <c r="F11" s="58">
        <f>G11-E11</f>
        <v>33751758</v>
      </c>
      <c r="G11" s="58">
        <f>164382021+6819458</f>
        <v>171201479</v>
      </c>
      <c r="H11" s="58">
        <f>D11-G11</f>
        <v>196529351</v>
      </c>
      <c r="I11" s="74">
        <f>E11/D11</f>
        <v>0.37377807294536602</v>
      </c>
      <c r="J11" s="67">
        <f>F11/D11</f>
        <v>9.1783868108094177E-2</v>
      </c>
      <c r="K11" s="67">
        <f>G11/D11</f>
        <v>0.46556194105346022</v>
      </c>
    </row>
    <row r="12" spans="1:14" x14ac:dyDescent="0.35">
      <c r="B12" s="60" t="s">
        <v>13</v>
      </c>
      <c r="C12" s="59"/>
      <c r="D12" s="63">
        <f>SUM(D10:D11)</f>
        <v>486390197</v>
      </c>
      <c r="E12" s="63">
        <f t="shared" ref="E12:H12" si="2">SUM(E10:E11)</f>
        <v>190930922</v>
      </c>
      <c r="F12" s="63">
        <f t="shared" si="2"/>
        <v>36072440</v>
      </c>
      <c r="G12" s="63">
        <f t="shared" si="2"/>
        <v>227003362</v>
      </c>
      <c r="H12" s="63">
        <f t="shared" si="2"/>
        <v>259386835</v>
      </c>
      <c r="I12" s="75">
        <f>E12/D12</f>
        <v>0.39254681360282434</v>
      </c>
      <c r="J12" s="64">
        <f>F12/D12</f>
        <v>7.416358352304539E-2</v>
      </c>
      <c r="K12" s="64">
        <f>G12/D12</f>
        <v>0.4667103971258697</v>
      </c>
    </row>
    <row r="14" spans="1:14" x14ac:dyDescent="0.35">
      <c r="B14" s="2"/>
      <c r="D14" s="57"/>
      <c r="E14" s="57"/>
      <c r="F14" s="57"/>
      <c r="G14" s="57"/>
      <c r="H14" s="57"/>
      <c r="I14" s="87"/>
      <c r="J14" s="87"/>
      <c r="K14" s="87"/>
    </row>
    <row r="15" spans="1:14" x14ac:dyDescent="0.35">
      <c r="A15" s="88" t="s">
        <v>16</v>
      </c>
      <c r="B15" s="89" t="s">
        <v>17</v>
      </c>
      <c r="C15" s="38"/>
      <c r="D15" s="38"/>
      <c r="E15" s="38"/>
      <c r="F15" s="38"/>
      <c r="G15" s="38"/>
      <c r="H15" s="38"/>
      <c r="I15" s="38"/>
      <c r="J15" s="38"/>
      <c r="K15" s="38"/>
    </row>
    <row r="16" spans="1:14" x14ac:dyDescent="0.35">
      <c r="D16" s="54" t="s">
        <v>2</v>
      </c>
      <c r="E16" s="54" t="s">
        <v>3</v>
      </c>
      <c r="F16" s="54" t="s">
        <v>4</v>
      </c>
      <c r="G16" s="54" t="s">
        <v>5</v>
      </c>
      <c r="H16" s="54" t="s">
        <v>6</v>
      </c>
      <c r="I16" s="73" t="s">
        <v>7</v>
      </c>
      <c r="J16" s="69" t="s">
        <v>8</v>
      </c>
      <c r="K16" s="3" t="s">
        <v>9</v>
      </c>
    </row>
    <row r="17" spans="2:14" x14ac:dyDescent="0.35">
      <c r="B17" s="2" t="s">
        <v>11</v>
      </c>
      <c r="D17" s="56">
        <f t="shared" ref="D17:F18" si="3">D10+D4</f>
        <v>126425377.39</v>
      </c>
      <c r="E17" s="56">
        <f t="shared" si="3"/>
        <v>56701898.5</v>
      </c>
      <c r="F17" s="56">
        <f t="shared" si="3"/>
        <v>2589694</v>
      </c>
      <c r="G17" s="56">
        <f>SUM(E17:F17)</f>
        <v>59291592.5</v>
      </c>
      <c r="H17" s="58">
        <f>D17-G17</f>
        <v>67133784.890000001</v>
      </c>
      <c r="I17" s="74">
        <f>E17/D17</f>
        <v>0.44850092339518705</v>
      </c>
      <c r="J17" s="67">
        <f>F17/D17</f>
        <v>2.0483972865758197E-2</v>
      </c>
      <c r="K17" s="67">
        <f>G17/D17</f>
        <v>0.46898489626094525</v>
      </c>
      <c r="N17" s="90">
        <f>E17/G17</f>
        <v>0.95632274508396786</v>
      </c>
    </row>
    <row r="18" spans="2:14" x14ac:dyDescent="0.35">
      <c r="B18" s="2" t="s">
        <v>12</v>
      </c>
      <c r="D18" s="58">
        <f t="shared" si="3"/>
        <v>401876296.38999999</v>
      </c>
      <c r="E18" s="58">
        <f t="shared" si="3"/>
        <v>144090400</v>
      </c>
      <c r="F18" s="58">
        <f t="shared" si="3"/>
        <v>36527780.520000003</v>
      </c>
      <c r="G18" s="58">
        <f>SUM(E18:F18)</f>
        <v>180618180.52000001</v>
      </c>
      <c r="H18" s="58">
        <f>D18-G18</f>
        <v>221258115.86999997</v>
      </c>
      <c r="I18" s="74">
        <f>E18/D18</f>
        <v>0.35854416220698865</v>
      </c>
      <c r="J18" s="67">
        <f>F18/D18</f>
        <v>9.0893095333375168E-2</v>
      </c>
      <c r="K18" s="67">
        <f>G18/D18</f>
        <v>0.44943725754036384</v>
      </c>
      <c r="N18" s="90">
        <f>E18/G18</f>
        <v>0.79776243778540745</v>
      </c>
    </row>
    <row r="19" spans="2:14" x14ac:dyDescent="0.35">
      <c r="B19" s="60" t="s">
        <v>13</v>
      </c>
      <c r="C19" s="59"/>
      <c r="D19" s="63">
        <f>SUM(D17:D18)</f>
        <v>528301673.77999997</v>
      </c>
      <c r="E19" s="63">
        <f t="shared" ref="E19:H19" si="4">SUM(E17:E18)</f>
        <v>200792298.5</v>
      </c>
      <c r="F19" s="63">
        <f t="shared" si="4"/>
        <v>39117474.520000003</v>
      </c>
      <c r="G19" s="63">
        <f t="shared" si="4"/>
        <v>239909773.02000001</v>
      </c>
      <c r="H19" s="63">
        <f t="shared" si="4"/>
        <v>288391900.75999999</v>
      </c>
      <c r="I19" s="75">
        <f>E19/D19</f>
        <v>0.38007128969198706</v>
      </c>
      <c r="J19" s="64">
        <f>F19/D19</f>
        <v>7.4043820910341548E-2</v>
      </c>
      <c r="K19" s="64">
        <f>G19/D19</f>
        <v>0.45411511060232862</v>
      </c>
      <c r="N19" s="90">
        <f>E19/G19</f>
        <v>0.83694922458728271</v>
      </c>
    </row>
    <row r="20" spans="2:14" x14ac:dyDescent="0.35">
      <c r="D20" s="57"/>
      <c r="E20" s="76"/>
    </row>
    <row r="21" spans="2:14" x14ac:dyDescent="0.35">
      <c r="D21" s="3"/>
    </row>
    <row r="22" spans="2:14" x14ac:dyDescent="0.35">
      <c r="G22" s="57"/>
      <c r="H22" s="57"/>
    </row>
    <row r="23" spans="2:14" x14ac:dyDescent="0.35">
      <c r="B23" s="2" t="s">
        <v>18</v>
      </c>
      <c r="G23" s="57"/>
      <c r="H23" s="57"/>
    </row>
    <row r="24" spans="2:14" x14ac:dyDescent="0.35">
      <c r="B24" s="80"/>
      <c r="C24" s="80"/>
      <c r="D24" s="80" t="s">
        <v>19</v>
      </c>
      <c r="E24" s="80" t="s">
        <v>20</v>
      </c>
    </row>
    <row r="25" spans="2:14" x14ac:dyDescent="0.35">
      <c r="B25" s="81" t="s">
        <v>21</v>
      </c>
      <c r="C25" s="80"/>
      <c r="D25" s="82">
        <f>D4</f>
        <v>7766010.3900000006</v>
      </c>
      <c r="E25" s="82">
        <f>D10+D4</f>
        <v>126425377.39</v>
      </c>
    </row>
    <row r="26" spans="2:14" x14ac:dyDescent="0.35">
      <c r="B26" s="81" t="s">
        <v>22</v>
      </c>
      <c r="C26" s="80"/>
      <c r="D26" s="82">
        <f>E4</f>
        <v>3220697.5</v>
      </c>
      <c r="E26" s="82">
        <f>E10+E4</f>
        <v>56701898.5</v>
      </c>
      <c r="G26" s="57"/>
    </row>
    <row r="27" spans="2:14" x14ac:dyDescent="0.35">
      <c r="B27" s="81" t="s">
        <v>23</v>
      </c>
      <c r="C27" s="80"/>
      <c r="D27" s="82">
        <f>G4</f>
        <v>3489709.5</v>
      </c>
      <c r="E27" s="82">
        <f>G4+G10</f>
        <v>59291592.5</v>
      </c>
    </row>
    <row r="28" spans="2:14" x14ac:dyDescent="0.35">
      <c r="B28" s="81" t="s">
        <v>24</v>
      </c>
      <c r="C28" s="80"/>
      <c r="D28" s="83">
        <f>K4</f>
        <v>0.44935679000553069</v>
      </c>
      <c r="E28" s="83">
        <f>E27/E25</f>
        <v>0.46898489626094525</v>
      </c>
    </row>
    <row r="29" spans="2:14" x14ac:dyDescent="0.35">
      <c r="B29" s="81" t="s">
        <v>25</v>
      </c>
      <c r="C29" s="80"/>
      <c r="D29" s="84">
        <v>0.38</v>
      </c>
      <c r="E29" s="84">
        <v>0.38</v>
      </c>
    </row>
    <row r="32" spans="2:14" x14ac:dyDescent="0.35">
      <c r="B32" s="2" t="s">
        <v>26</v>
      </c>
    </row>
    <row r="33" spans="2:14" x14ac:dyDescent="0.35">
      <c r="B33" s="80"/>
      <c r="C33" s="80"/>
      <c r="D33" s="80" t="s">
        <v>19</v>
      </c>
      <c r="E33" s="80" t="s">
        <v>20</v>
      </c>
    </row>
    <row r="34" spans="2:14" x14ac:dyDescent="0.35">
      <c r="B34" s="81" t="s">
        <v>21</v>
      </c>
      <c r="C34" s="80"/>
      <c r="D34" s="82">
        <f>D5</f>
        <v>34145466.389999993</v>
      </c>
      <c r="E34" s="82">
        <f>D5+D11</f>
        <v>401876296.38999999</v>
      </c>
    </row>
    <row r="35" spans="2:14" x14ac:dyDescent="0.35">
      <c r="B35" s="81" t="s">
        <v>22</v>
      </c>
      <c r="C35" s="80"/>
      <c r="D35" s="82">
        <f>E5</f>
        <v>6640679</v>
      </c>
      <c r="E35" s="82">
        <f>E5+E11</f>
        <v>144090400</v>
      </c>
    </row>
    <row r="36" spans="2:14" x14ac:dyDescent="0.35">
      <c r="B36" s="81" t="s">
        <v>23</v>
      </c>
      <c r="C36" s="80"/>
      <c r="D36" s="82">
        <f>G5</f>
        <v>9416701.5199999996</v>
      </c>
      <c r="E36" s="82">
        <f>G5+G11</f>
        <v>180618180.52000001</v>
      </c>
    </row>
    <row r="37" spans="2:14" x14ac:dyDescent="0.35">
      <c r="B37" s="81" t="s">
        <v>24</v>
      </c>
      <c r="C37" s="80"/>
      <c r="D37" s="83">
        <f>K5</f>
        <v>0.27578189773263195</v>
      </c>
      <c r="E37" s="83">
        <f>E36/E34</f>
        <v>0.44943725754036384</v>
      </c>
    </row>
    <row r="38" spans="2:14" x14ac:dyDescent="0.35">
      <c r="B38" s="81" t="s">
        <v>27</v>
      </c>
      <c r="C38" s="80"/>
      <c r="D38" s="83">
        <v>0.41</v>
      </c>
      <c r="E38" s="83">
        <v>0.41</v>
      </c>
    </row>
    <row r="40" spans="2:14" x14ac:dyDescent="0.35">
      <c r="N40" s="96"/>
    </row>
    <row r="41" spans="2:14" x14ac:dyDescent="0.35">
      <c r="D41" s="57"/>
      <c r="N41" s="96"/>
    </row>
    <row r="42" spans="2:14" x14ac:dyDescent="0.35">
      <c r="D42" s="57"/>
      <c r="N42" s="96"/>
    </row>
    <row r="43" spans="2:14" x14ac:dyDescent="0.35">
      <c r="D43" s="97"/>
      <c r="N43" s="96"/>
    </row>
    <row r="44" spans="2:14" x14ac:dyDescent="0.35">
      <c r="N44" s="96"/>
    </row>
    <row r="45" spans="2:14" x14ac:dyDescent="0.35">
      <c r="B45" s="1"/>
      <c r="I45" s="3"/>
      <c r="J45" s="3"/>
      <c r="K45" s="3"/>
      <c r="N45" s="96"/>
    </row>
    <row r="46" spans="2:14" x14ac:dyDescent="0.35">
      <c r="D46" s="54"/>
      <c r="E46" s="54"/>
      <c r="F46" s="54"/>
      <c r="G46" s="54"/>
      <c r="H46" s="54"/>
      <c r="I46" s="69"/>
      <c r="J46" s="69"/>
      <c r="K46" s="3"/>
      <c r="N46" s="96"/>
    </row>
    <row r="47" spans="2:14" x14ac:dyDescent="0.35">
      <c r="B47" s="2"/>
      <c r="D47" s="98"/>
      <c r="E47" s="98"/>
      <c r="F47" s="98"/>
      <c r="G47" s="57"/>
      <c r="H47" s="57"/>
      <c r="I47" s="87"/>
      <c r="J47" s="87"/>
      <c r="K47" s="87"/>
      <c r="M47" s="97"/>
      <c r="N47" s="99"/>
    </row>
    <row r="48" spans="2:14" x14ac:dyDescent="0.35">
      <c r="B48" s="2"/>
      <c r="D48" s="98"/>
      <c r="E48" s="98"/>
      <c r="F48" s="98"/>
      <c r="G48" s="98"/>
      <c r="H48" s="98"/>
      <c r="I48" s="87"/>
      <c r="J48" s="87"/>
      <c r="K48" s="87"/>
      <c r="M48" s="97"/>
      <c r="N48" s="99"/>
    </row>
    <row r="49" spans="2:14" x14ac:dyDescent="0.35">
      <c r="B49" s="2"/>
      <c r="D49" s="57"/>
      <c r="E49" s="57"/>
      <c r="F49" s="57"/>
      <c r="G49" s="57"/>
      <c r="H49" s="57"/>
      <c r="I49" s="87"/>
      <c r="J49" s="87"/>
      <c r="K49" s="87"/>
      <c r="M49" s="97"/>
      <c r="N49" s="99"/>
    </row>
    <row r="50" spans="2:14" x14ac:dyDescent="0.35">
      <c r="E50" s="100"/>
      <c r="N50" s="96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A27FF-1F4A-4A15-B747-57FBF9713347}">
  <dimension ref="A2:T101"/>
  <sheetViews>
    <sheetView zoomScale="79" zoomScaleNormal="92" workbookViewId="0">
      <selection activeCell="M21" sqref="M21"/>
    </sheetView>
  </sheetViews>
  <sheetFormatPr defaultRowHeight="14.5" x14ac:dyDescent="0.35"/>
  <cols>
    <col min="1" max="1" width="11.7265625" bestFit="1" customWidth="1"/>
    <col min="2" max="2" width="4.1796875" bestFit="1" customWidth="1"/>
    <col min="3" max="3" width="40.81640625" customWidth="1"/>
    <col min="4" max="4" width="7.1796875" customWidth="1"/>
    <col min="5" max="5" width="17.81640625" bestFit="1" customWidth="1"/>
    <col min="6" max="6" width="28.1796875" bestFit="1" customWidth="1"/>
    <col min="7" max="7" width="17.7265625" bestFit="1" customWidth="1"/>
    <col min="8" max="8" width="21.7265625" customWidth="1"/>
    <col min="9" max="9" width="16.7265625" customWidth="1"/>
    <col min="10" max="10" width="17" style="3" customWidth="1"/>
    <col min="11" max="11" width="16" style="3" customWidth="1"/>
    <col min="12" max="12" width="15.54296875" style="3" customWidth="1"/>
    <col min="13" max="13" width="15.81640625" style="3" customWidth="1"/>
    <col min="14" max="14" width="16.81640625" style="3" customWidth="1"/>
    <col min="15" max="15" width="13.54296875" style="85" customWidth="1"/>
    <col min="16" max="16" width="12.1796875" style="92" bestFit="1" customWidth="1"/>
    <col min="17" max="17" width="6.453125" customWidth="1"/>
    <col min="19" max="19" width="16.1796875" bestFit="1" customWidth="1"/>
    <col min="20" max="20" width="15" bestFit="1" customWidth="1"/>
  </cols>
  <sheetData>
    <row r="2" spans="1:17" x14ac:dyDescent="0.35">
      <c r="C2" s="1" t="s">
        <v>28</v>
      </c>
      <c r="D2" s="1"/>
      <c r="O2" s="91"/>
    </row>
    <row r="3" spans="1:17" x14ac:dyDescent="0.35">
      <c r="C3" s="2" t="s">
        <v>29</v>
      </c>
      <c r="D3" s="2"/>
      <c r="I3" s="9"/>
      <c r="J3" s="9"/>
      <c r="K3" s="4"/>
      <c r="L3" s="4"/>
      <c r="M3" s="4"/>
      <c r="N3" s="4"/>
      <c r="O3" s="93"/>
    </row>
    <row r="4" spans="1:17" x14ac:dyDescent="0.35">
      <c r="C4" s="2"/>
      <c r="D4" s="2"/>
    </row>
    <row r="6" spans="1:17" x14ac:dyDescent="0.35">
      <c r="C6" s="1" t="s">
        <v>30</v>
      </c>
    </row>
    <row r="7" spans="1:17" x14ac:dyDescent="0.35">
      <c r="E7" s="54" t="s">
        <v>2</v>
      </c>
      <c r="F7" s="54" t="s">
        <v>3</v>
      </c>
      <c r="G7" s="54" t="s">
        <v>4</v>
      </c>
      <c r="H7" s="54" t="s">
        <v>5</v>
      </c>
      <c r="I7" s="54" t="s">
        <v>6</v>
      </c>
      <c r="J7" s="73" t="s">
        <v>7</v>
      </c>
      <c r="K7" s="69" t="s">
        <v>8</v>
      </c>
      <c r="L7" s="3" t="s">
        <v>9</v>
      </c>
    </row>
    <row r="8" spans="1:17" x14ac:dyDescent="0.35">
      <c r="C8" s="2" t="s">
        <v>11</v>
      </c>
      <c r="E8" s="56">
        <f>SUMIFS(F$15:F$78,$D$15:$D$78,"P")</f>
        <v>4697711.9700000007</v>
      </c>
      <c r="F8" s="56">
        <f>SUMIFS(G$15:G$78,$D$15:$D$78,"P")</f>
        <v>2119522.5</v>
      </c>
      <c r="G8" s="56">
        <f>SUMIFS(H$15:H$78,$D$15:$D$78,"P")</f>
        <v>175512</v>
      </c>
      <c r="H8" s="57">
        <f>SUM(F8:G8)</f>
        <v>2295034.5</v>
      </c>
      <c r="I8" s="57">
        <f>E8-H8</f>
        <v>2402677.4700000007</v>
      </c>
      <c r="J8" s="74">
        <f>F8/$E$8</f>
        <v>0.45118187609956845</v>
      </c>
      <c r="K8" s="67">
        <f t="shared" ref="K8:L8" si="0">G8/$E$8</f>
        <v>3.7361166695794673E-2</v>
      </c>
      <c r="L8" s="67">
        <f t="shared" si="0"/>
        <v>0.48854304279536315</v>
      </c>
      <c r="O8" s="94"/>
      <c r="P8" s="95"/>
      <c r="Q8" s="92"/>
    </row>
    <row r="9" spans="1:17" x14ac:dyDescent="0.35">
      <c r="C9" s="2" t="s">
        <v>12</v>
      </c>
      <c r="E9" s="58">
        <f>SUMIFS(F$15:F$78,$D$15:$D$78,"C")</f>
        <v>20401147.519999996</v>
      </c>
      <c r="F9" s="58">
        <f>SUMIFS(G$15:G$78,$D$15:$D$78,"C")</f>
        <v>5838838.46</v>
      </c>
      <c r="G9" s="58">
        <f>SUMIFS(H$15:H$78,$D$15:$D$78,"C")</f>
        <v>943650.27</v>
      </c>
      <c r="H9" s="57">
        <f>SUM(F9:G9)</f>
        <v>6782488.7300000004</v>
      </c>
      <c r="I9" s="57">
        <f>E9-H9</f>
        <v>13618658.789999995</v>
      </c>
      <c r="J9" s="74">
        <f>F9/$E$9</f>
        <v>0.28620147245521221</v>
      </c>
      <c r="K9" s="67">
        <f t="shared" ref="K9:L9" si="1">G9/$E$9</f>
        <v>4.6254764300630878E-2</v>
      </c>
      <c r="L9" s="67">
        <f t="shared" si="1"/>
        <v>0.33245623675584313</v>
      </c>
    </row>
    <row r="10" spans="1:17" x14ac:dyDescent="0.35">
      <c r="C10" s="60" t="s">
        <v>13</v>
      </c>
      <c r="D10" s="59"/>
      <c r="E10" s="63">
        <f>SUM(E8:E9)</f>
        <v>25098859.489999995</v>
      </c>
      <c r="F10" s="63">
        <f t="shared" ref="F10:I10" si="2">SUM(F8:F9)</f>
        <v>7958360.96</v>
      </c>
      <c r="G10" s="63">
        <f t="shared" si="2"/>
        <v>1119162.27</v>
      </c>
      <c r="H10" s="63">
        <f t="shared" si="2"/>
        <v>9077523.2300000004</v>
      </c>
      <c r="I10" s="63">
        <f t="shared" si="2"/>
        <v>16021336.259999996</v>
      </c>
      <c r="J10" s="75">
        <f>F10/$E$10</f>
        <v>0.3170805814172874</v>
      </c>
      <c r="K10" s="64">
        <f t="shared" ref="K10:L10" si="3">G10/$E$10</f>
        <v>4.459016436367963E-2</v>
      </c>
      <c r="L10" s="64">
        <f t="shared" si="3"/>
        <v>0.36167074578096703</v>
      </c>
    </row>
    <row r="13" spans="1:17" x14ac:dyDescent="0.35">
      <c r="C13" s="1" t="s">
        <v>31</v>
      </c>
      <c r="D13" s="1"/>
    </row>
    <row r="14" spans="1:17" x14ac:dyDescent="0.35">
      <c r="A14" s="5"/>
      <c r="B14" s="5"/>
      <c r="C14" s="5" t="s">
        <v>32</v>
      </c>
      <c r="D14" s="5" t="s">
        <v>33</v>
      </c>
      <c r="E14" s="5" t="s">
        <v>34</v>
      </c>
      <c r="F14" s="6" t="s">
        <v>35</v>
      </c>
      <c r="G14" s="6" t="s">
        <v>3</v>
      </c>
      <c r="H14" s="6" t="s">
        <v>4</v>
      </c>
      <c r="I14" s="6" t="s">
        <v>5</v>
      </c>
      <c r="J14" s="6" t="s">
        <v>6</v>
      </c>
      <c r="O14" s="91"/>
    </row>
    <row r="15" spans="1:17" x14ac:dyDescent="0.35">
      <c r="C15" s="38" t="s">
        <v>36</v>
      </c>
      <c r="D15" s="38" t="str">
        <f>_xlfn.XLOOKUP(C15,'Vendor List'!$B$2:$B$51,'Vendor List'!$C$2:$C$51,"NA")</f>
        <v>P</v>
      </c>
      <c r="E15" s="38" t="s">
        <v>37</v>
      </c>
      <c r="F15" s="35">
        <v>16525</v>
      </c>
      <c r="G15" s="35">
        <v>0</v>
      </c>
      <c r="H15" s="35">
        <v>0</v>
      </c>
      <c r="I15" s="35">
        <f>SUM(G15:H15)</f>
        <v>0</v>
      </c>
      <c r="J15" s="35">
        <f t="shared" ref="J15:J18" si="4">F15-I15</f>
        <v>16525</v>
      </c>
    </row>
    <row r="16" spans="1:17" x14ac:dyDescent="0.35">
      <c r="C16" s="38" t="s">
        <v>38</v>
      </c>
      <c r="D16" s="38" t="str">
        <f>_xlfn.XLOOKUP(C16,'Vendor List'!$B$2:$B$51,'Vendor List'!$C$2:$C$51,"NA")</f>
        <v>P</v>
      </c>
      <c r="E16" s="38" t="s">
        <v>37</v>
      </c>
      <c r="F16" s="35">
        <v>0</v>
      </c>
      <c r="G16" s="35">
        <v>0</v>
      </c>
      <c r="H16" s="35">
        <v>0</v>
      </c>
      <c r="I16" s="35">
        <f t="shared" ref="I16:I24" si="5">SUM(G16:H16)</f>
        <v>0</v>
      </c>
      <c r="J16" s="35">
        <f t="shared" si="4"/>
        <v>0</v>
      </c>
    </row>
    <row r="17" spans="3:15" x14ac:dyDescent="0.35">
      <c r="C17" s="38" t="s">
        <v>39</v>
      </c>
      <c r="D17" s="38" t="str">
        <f>_xlfn.XLOOKUP(C17,'Vendor List'!$B$2:$B$51,'Vendor List'!$C$2:$C$51,"NA")</f>
        <v>C</v>
      </c>
      <c r="E17" s="38" t="s">
        <v>40</v>
      </c>
      <c r="F17" s="35">
        <v>5020228.88</v>
      </c>
      <c r="G17" s="35">
        <v>224265.67</v>
      </c>
      <c r="H17" s="35">
        <v>7000</v>
      </c>
      <c r="I17" s="35">
        <f t="shared" si="5"/>
        <v>231265.67</v>
      </c>
      <c r="J17" s="35">
        <f t="shared" si="4"/>
        <v>4788963.21</v>
      </c>
    </row>
    <row r="18" spans="3:15" x14ac:dyDescent="0.35">
      <c r="C18" s="38" t="s">
        <v>41</v>
      </c>
      <c r="D18" s="38" t="str">
        <f>_xlfn.XLOOKUP(C18,'Vendor List'!$B$2:$B$51,'Vendor List'!$C$2:$C$51,"NA")</f>
        <v>P</v>
      </c>
      <c r="E18" s="38" t="s">
        <v>42</v>
      </c>
      <c r="F18" s="35">
        <v>3500</v>
      </c>
      <c r="G18" s="35">
        <v>0</v>
      </c>
      <c r="H18" s="35">
        <v>0</v>
      </c>
      <c r="I18" s="35">
        <f t="shared" si="5"/>
        <v>0</v>
      </c>
      <c r="J18" s="35">
        <f t="shared" si="4"/>
        <v>3500</v>
      </c>
    </row>
    <row r="19" spans="3:15" x14ac:dyDescent="0.35">
      <c r="C19" s="38" t="s">
        <v>43</v>
      </c>
      <c r="D19" s="38" t="str">
        <f>_xlfn.XLOOKUP(C19,'Vendor List'!$B$2:$B$51,'Vendor List'!$C$2:$C$51,"NA")</f>
        <v>P</v>
      </c>
      <c r="E19" s="40" t="s">
        <v>44</v>
      </c>
      <c r="F19" s="41">
        <v>46000</v>
      </c>
      <c r="G19" s="35">
        <v>46000</v>
      </c>
      <c r="H19" s="35">
        <v>0</v>
      </c>
      <c r="I19" s="35">
        <f t="shared" si="5"/>
        <v>46000</v>
      </c>
      <c r="J19" s="35">
        <f>F19-I19</f>
        <v>0</v>
      </c>
    </row>
    <row r="20" spans="3:15" x14ac:dyDescent="0.35">
      <c r="C20" s="38" t="s">
        <v>45</v>
      </c>
      <c r="D20" s="38" t="str">
        <f>_xlfn.XLOOKUP(C20,'Vendor List'!$B$2:$B$51,'Vendor List'!$C$2:$C$51,"NA")</f>
        <v>P</v>
      </c>
      <c r="E20" s="40" t="s">
        <v>42</v>
      </c>
      <c r="F20" s="41">
        <v>185310</v>
      </c>
      <c r="G20" s="35"/>
      <c r="H20" s="35">
        <v>4200</v>
      </c>
      <c r="I20" s="35">
        <f t="shared" si="5"/>
        <v>4200</v>
      </c>
      <c r="J20" s="35">
        <f t="shared" ref="J20:J24" si="6">F20-I20</f>
        <v>181110</v>
      </c>
    </row>
    <row r="21" spans="3:15" x14ac:dyDescent="0.35">
      <c r="C21" s="38" t="s">
        <v>46</v>
      </c>
      <c r="D21" s="38" t="s">
        <v>47</v>
      </c>
      <c r="E21" s="40" t="s">
        <v>48</v>
      </c>
      <c r="F21" s="41">
        <v>35000</v>
      </c>
      <c r="G21" s="35">
        <v>0</v>
      </c>
      <c r="H21" s="35">
        <v>35000</v>
      </c>
      <c r="I21" s="35">
        <f t="shared" si="5"/>
        <v>35000</v>
      </c>
      <c r="J21" s="35">
        <f t="shared" si="6"/>
        <v>0</v>
      </c>
    </row>
    <row r="22" spans="3:15" ht="15" customHeight="1" x14ac:dyDescent="0.35">
      <c r="C22" s="38" t="s">
        <v>49</v>
      </c>
      <c r="D22" s="38" t="str">
        <f>_xlfn.XLOOKUP(C22,'Vendor List'!$B$2:$B$51,'Vendor List'!$C$2:$C$51,"NA")</f>
        <v>P</v>
      </c>
      <c r="E22" s="40" t="s">
        <v>50</v>
      </c>
      <c r="F22" s="41">
        <v>98200</v>
      </c>
      <c r="G22" s="35">
        <v>98200</v>
      </c>
      <c r="H22" s="35">
        <v>0</v>
      </c>
      <c r="I22" s="35">
        <f t="shared" si="5"/>
        <v>98200</v>
      </c>
      <c r="J22" s="35">
        <f t="shared" si="6"/>
        <v>0</v>
      </c>
    </row>
    <row r="23" spans="3:15" x14ac:dyDescent="0.35">
      <c r="C23" s="38" t="s">
        <v>46</v>
      </c>
      <c r="D23" s="38" t="s">
        <v>47</v>
      </c>
      <c r="E23" s="40" t="s">
        <v>44</v>
      </c>
      <c r="F23" s="41">
        <v>25000</v>
      </c>
      <c r="G23" s="35">
        <v>0</v>
      </c>
      <c r="H23" s="35">
        <v>25000</v>
      </c>
      <c r="I23" s="35">
        <f t="shared" si="5"/>
        <v>25000</v>
      </c>
      <c r="J23" s="35">
        <f t="shared" si="6"/>
        <v>0</v>
      </c>
    </row>
    <row r="24" spans="3:15" x14ac:dyDescent="0.35">
      <c r="C24" s="39" t="s">
        <v>51</v>
      </c>
      <c r="D24" s="39" t="str">
        <f>_xlfn.XLOOKUP(C24,'Vendor List'!$B$2:$B$51,'Vendor List'!$C$2:$C$51,"NA")</f>
        <v>P</v>
      </c>
      <c r="E24" s="40" t="s">
        <v>37</v>
      </c>
      <c r="F24" s="41">
        <v>60000</v>
      </c>
      <c r="G24" s="35">
        <v>0</v>
      </c>
      <c r="H24" s="35">
        <v>0</v>
      </c>
      <c r="I24" s="35">
        <f t="shared" si="5"/>
        <v>0</v>
      </c>
      <c r="J24" s="35">
        <f t="shared" si="6"/>
        <v>60000</v>
      </c>
    </row>
    <row r="25" spans="3:15" x14ac:dyDescent="0.35">
      <c r="C25" s="39" t="s">
        <v>52</v>
      </c>
      <c r="D25" s="39" t="str">
        <f>_xlfn.XLOOKUP(C25,'Vendor List'!$B$2:$B$51,'Vendor List'!$C$2:$C$51,"NA")</f>
        <v>C</v>
      </c>
      <c r="E25" s="40" t="s">
        <v>53</v>
      </c>
      <c r="F25" s="41">
        <v>249160</v>
      </c>
      <c r="G25" s="35">
        <v>0</v>
      </c>
      <c r="H25" s="35">
        <v>249160</v>
      </c>
      <c r="I25" s="35">
        <f t="shared" ref="I25" si="7">SUM(G25:H25)</f>
        <v>249160</v>
      </c>
      <c r="J25" s="35">
        <f t="shared" ref="J25" si="8">F25-I25</f>
        <v>0</v>
      </c>
    </row>
    <row r="26" spans="3:15" x14ac:dyDescent="0.35">
      <c r="C26" s="14" t="s">
        <v>54</v>
      </c>
      <c r="D26" s="14"/>
      <c r="E26" s="15"/>
      <c r="F26" s="16">
        <f>SUM(F15:F25)</f>
        <v>5738923.8799999999</v>
      </c>
      <c r="G26" s="16">
        <f t="shared" ref="G26:J26" si="9">SUM(G15:G25)</f>
        <v>368465.67000000004</v>
      </c>
      <c r="H26" s="16">
        <f t="shared" si="9"/>
        <v>320360</v>
      </c>
      <c r="I26" s="16">
        <f t="shared" si="9"/>
        <v>688825.67</v>
      </c>
      <c r="J26" s="16">
        <f t="shared" si="9"/>
        <v>5050098.21</v>
      </c>
    </row>
    <row r="27" spans="3:15" x14ac:dyDescent="0.35">
      <c r="C27" t="s">
        <v>55</v>
      </c>
      <c r="F27" s="3">
        <f>F15+F16+F18+F19+F20+F21+F22+F23+F24</f>
        <v>469535</v>
      </c>
      <c r="G27" s="3">
        <f t="shared" ref="G27:J27" si="10">G15+G16+G18+G19+G20+G21+G22+G23+G24</f>
        <v>144200</v>
      </c>
      <c r="H27" s="3">
        <f t="shared" si="10"/>
        <v>64200</v>
      </c>
      <c r="I27" s="3">
        <f t="shared" si="10"/>
        <v>208400</v>
      </c>
      <c r="J27" s="3">
        <f t="shared" si="10"/>
        <v>261135</v>
      </c>
    </row>
    <row r="28" spans="3:15" x14ac:dyDescent="0.35">
      <c r="C28" t="s">
        <v>56</v>
      </c>
      <c r="F28" s="3">
        <f>F17+F25</f>
        <v>5269388.88</v>
      </c>
      <c r="G28" s="3">
        <f t="shared" ref="G28:J28" si="11">G17+G25</f>
        <v>224265.67</v>
      </c>
      <c r="H28" s="3">
        <f t="shared" si="11"/>
        <v>256160</v>
      </c>
      <c r="I28" s="3">
        <f t="shared" si="11"/>
        <v>480425.67000000004</v>
      </c>
      <c r="J28" s="3">
        <f t="shared" si="11"/>
        <v>4788963.21</v>
      </c>
    </row>
    <row r="30" spans="3:15" x14ac:dyDescent="0.35">
      <c r="C30" s="1" t="s">
        <v>57</v>
      </c>
      <c r="D30" s="1"/>
    </row>
    <row r="31" spans="3:15" x14ac:dyDescent="0.35">
      <c r="C31" s="11" t="s">
        <v>58</v>
      </c>
      <c r="D31" s="11"/>
    </row>
    <row r="32" spans="3:15" x14ac:dyDescent="0.35">
      <c r="C32" s="31" t="s">
        <v>32</v>
      </c>
      <c r="D32" s="31" t="s">
        <v>33</v>
      </c>
      <c r="E32" s="31" t="s">
        <v>34</v>
      </c>
      <c r="F32" s="32" t="s">
        <v>59</v>
      </c>
      <c r="G32" s="6" t="s">
        <v>3</v>
      </c>
      <c r="H32" s="6" t="s">
        <v>4</v>
      </c>
      <c r="I32" s="6" t="s">
        <v>5</v>
      </c>
      <c r="J32" s="6" t="s">
        <v>6</v>
      </c>
      <c r="O32" s="91"/>
    </row>
    <row r="33" spans="3:20" x14ac:dyDescent="0.35">
      <c r="C33" s="38" t="s">
        <v>60</v>
      </c>
      <c r="D33" s="38" t="str">
        <f>_xlfn.XLOOKUP(C33,'Vendor List'!$B$2:$B$51,'Vendor List'!$C$2:$C$51,"NA")</f>
        <v>P</v>
      </c>
      <c r="E33" s="38" t="s">
        <v>48</v>
      </c>
      <c r="F33" s="35">
        <v>45000</v>
      </c>
      <c r="G33" s="35">
        <v>0</v>
      </c>
      <c r="H33" s="35">
        <v>0</v>
      </c>
      <c r="I33" s="35">
        <f t="shared" ref="I33:I78" si="12">SUM(G33:H33)</f>
        <v>0</v>
      </c>
      <c r="J33" s="35">
        <f t="shared" ref="J33:J78" si="13">F33-I33</f>
        <v>45000</v>
      </c>
    </row>
    <row r="34" spans="3:20" x14ac:dyDescent="0.35">
      <c r="C34" s="34" t="s">
        <v>39</v>
      </c>
      <c r="D34" s="34" t="str">
        <f>_xlfn.XLOOKUP(C34,'Vendor List'!$B$2:$B$51,'Vendor List'!$C$2:$C$51,"NA")</f>
        <v>C</v>
      </c>
      <c r="E34" s="34" t="s">
        <v>48</v>
      </c>
      <c r="F34" s="35">
        <v>4661381.1099999994</v>
      </c>
      <c r="G34" s="35">
        <f>1863577.61+88306</f>
        <v>1951883.61</v>
      </c>
      <c r="H34" s="35">
        <v>60820.19</v>
      </c>
      <c r="I34" s="35">
        <f t="shared" si="12"/>
        <v>2012703.8</v>
      </c>
      <c r="J34" s="35">
        <f t="shared" si="13"/>
        <v>2648677.3099999996</v>
      </c>
      <c r="S34" s="3"/>
      <c r="T34" s="3"/>
    </row>
    <row r="35" spans="3:20" x14ac:dyDescent="0.35">
      <c r="C35" s="34" t="s">
        <v>39</v>
      </c>
      <c r="D35" s="34" t="str">
        <f>_xlfn.XLOOKUP(C35,'Vendor List'!$B$2:$B$51,'Vendor List'!$C$2:$C$51,"NA")</f>
        <v>C</v>
      </c>
      <c r="E35" s="34" t="s">
        <v>61</v>
      </c>
      <c r="F35" s="35">
        <v>2395545.86</v>
      </c>
      <c r="G35" s="35">
        <f>474045.91+41625</f>
        <v>515670.91</v>
      </c>
      <c r="H35" s="35">
        <f>109076+1500</f>
        <v>110576</v>
      </c>
      <c r="I35" s="35">
        <f t="shared" si="12"/>
        <v>626246.90999999992</v>
      </c>
      <c r="J35" s="35">
        <f t="shared" si="13"/>
        <v>1769298.95</v>
      </c>
      <c r="S35" s="3"/>
    </row>
    <row r="36" spans="3:20" x14ac:dyDescent="0.35">
      <c r="C36" s="34" t="s">
        <v>39</v>
      </c>
      <c r="D36" s="34" t="str">
        <f>_xlfn.XLOOKUP(C36,'Vendor List'!$B$2:$B$51,'Vendor List'!$C$2:$C$51,"NA")</f>
        <v>C</v>
      </c>
      <c r="E36" s="34" t="s">
        <v>44</v>
      </c>
      <c r="F36" s="35">
        <v>5241679.04</v>
      </c>
      <c r="G36" s="35">
        <f>2983089.88+41833.95+37252</f>
        <v>3062175.83</v>
      </c>
      <c r="H36" s="35">
        <f>315678.5+1500</f>
        <v>317178.5</v>
      </c>
      <c r="I36" s="35">
        <f t="shared" si="12"/>
        <v>3379354.33</v>
      </c>
      <c r="J36" s="35">
        <f t="shared" si="13"/>
        <v>1862324.71</v>
      </c>
      <c r="P36" s="85"/>
      <c r="Q36" s="92"/>
      <c r="S36" s="92"/>
    </row>
    <row r="37" spans="3:20" x14ac:dyDescent="0.35">
      <c r="C37" s="34" t="s">
        <v>49</v>
      </c>
      <c r="D37" s="34" t="str">
        <f>_xlfn.XLOOKUP(C37,'Vendor List'!$B$2:$B$51,'Vendor List'!$C$2:$C$51,"NA")</f>
        <v>P</v>
      </c>
      <c r="E37" s="34" t="s">
        <v>62</v>
      </c>
      <c r="F37" s="35">
        <v>104588</v>
      </c>
      <c r="G37" s="35">
        <v>42700</v>
      </c>
      <c r="H37" s="35">
        <v>0</v>
      </c>
      <c r="I37" s="35">
        <f t="shared" si="12"/>
        <v>42700</v>
      </c>
      <c r="J37" s="35">
        <f t="shared" si="13"/>
        <v>61888</v>
      </c>
    </row>
    <row r="38" spans="3:20" x14ac:dyDescent="0.35">
      <c r="C38" s="34" t="s">
        <v>63</v>
      </c>
      <c r="D38" s="34" t="str">
        <f>_xlfn.XLOOKUP(C38,'Vendor List'!$B$2:$B$51,'Vendor List'!$C$2:$C$51,"NA")</f>
        <v>P</v>
      </c>
      <c r="E38" s="34" t="s">
        <v>48</v>
      </c>
      <c r="F38" s="35">
        <v>227650</v>
      </c>
      <c r="G38" s="35">
        <v>0</v>
      </c>
      <c r="H38" s="35">
        <v>0</v>
      </c>
      <c r="I38" s="35">
        <f t="shared" si="12"/>
        <v>0</v>
      </c>
      <c r="J38" s="35">
        <f t="shared" si="13"/>
        <v>227650</v>
      </c>
    </row>
    <row r="39" spans="3:20" x14ac:dyDescent="0.35">
      <c r="C39" s="34" t="s">
        <v>64</v>
      </c>
      <c r="D39" s="34" t="str">
        <f>_xlfn.XLOOKUP(C39,'Vendor List'!$B$2:$B$51,'Vendor List'!$C$2:$C$51,"NA")</f>
        <v>P</v>
      </c>
      <c r="E39" s="34" t="s">
        <v>44</v>
      </c>
      <c r="F39" s="35">
        <v>526430</v>
      </c>
      <c r="G39" s="35">
        <v>492116</v>
      </c>
      <c r="H39" s="35"/>
      <c r="I39" s="35">
        <f>SUM(G39:H39)</f>
        <v>492116</v>
      </c>
      <c r="J39" s="35">
        <f t="shared" si="13"/>
        <v>34314</v>
      </c>
    </row>
    <row r="40" spans="3:20" x14ac:dyDescent="0.35">
      <c r="C40" s="34" t="s">
        <v>64</v>
      </c>
      <c r="D40" s="34" t="str">
        <f>_xlfn.XLOOKUP(C40,'Vendor List'!$B$2:$B$51,'Vendor List'!$C$2:$C$51,"NA")</f>
        <v>P</v>
      </c>
      <c r="E40" s="34" t="s">
        <v>65</v>
      </c>
      <c r="F40" s="35">
        <v>89590</v>
      </c>
      <c r="G40" s="35">
        <v>89590</v>
      </c>
      <c r="H40" s="35">
        <v>0</v>
      </c>
      <c r="I40" s="35">
        <f t="shared" si="12"/>
        <v>89590</v>
      </c>
      <c r="J40" s="35">
        <f t="shared" si="13"/>
        <v>0</v>
      </c>
    </row>
    <row r="41" spans="3:20" x14ac:dyDescent="0.35">
      <c r="C41" s="34" t="s">
        <v>64</v>
      </c>
      <c r="D41" s="34" t="str">
        <f>_xlfn.XLOOKUP(C41,'Vendor List'!$B$2:$B$51,'Vendor List'!$C$2:$C$51,"NA")</f>
        <v>P</v>
      </c>
      <c r="E41" s="34" t="s">
        <v>37</v>
      </c>
      <c r="F41" s="35">
        <v>53070</v>
      </c>
      <c r="G41" s="35">
        <v>53070</v>
      </c>
      <c r="H41" s="35">
        <v>53070</v>
      </c>
      <c r="I41" s="35">
        <f t="shared" si="12"/>
        <v>106140</v>
      </c>
      <c r="J41" s="35">
        <f t="shared" si="13"/>
        <v>-53070</v>
      </c>
    </row>
    <row r="42" spans="3:20" x14ac:dyDescent="0.35">
      <c r="C42" s="34" t="s">
        <v>64</v>
      </c>
      <c r="D42" s="34" t="str">
        <f>_xlfn.XLOOKUP(C42,'Vendor List'!$B$2:$B$51,'Vendor List'!$C$2:$C$51,"NA")</f>
        <v>P</v>
      </c>
      <c r="E42" s="34" t="s">
        <v>66</v>
      </c>
      <c r="F42" s="35">
        <v>5000</v>
      </c>
      <c r="G42" s="35">
        <v>5000</v>
      </c>
      <c r="H42" s="35">
        <v>0</v>
      </c>
      <c r="I42" s="35">
        <f t="shared" si="12"/>
        <v>5000</v>
      </c>
      <c r="J42" s="35">
        <f t="shared" si="13"/>
        <v>0</v>
      </c>
    </row>
    <row r="43" spans="3:20" x14ac:dyDescent="0.35">
      <c r="C43" s="34" t="s">
        <v>64</v>
      </c>
      <c r="D43" s="34" t="str">
        <f>_xlfn.XLOOKUP(C43,'Vendor List'!$B$2:$B$51,'Vendor List'!$C$2:$C$51,"NA")</f>
        <v>P</v>
      </c>
      <c r="E43" s="34" t="s">
        <v>40</v>
      </c>
      <c r="F43" s="35">
        <v>5020</v>
      </c>
      <c r="G43" s="35">
        <v>920</v>
      </c>
      <c r="H43" s="35">
        <v>0</v>
      </c>
      <c r="I43" s="35">
        <f t="shared" si="12"/>
        <v>920</v>
      </c>
      <c r="J43" s="35">
        <f t="shared" si="13"/>
        <v>4100</v>
      </c>
    </row>
    <row r="44" spans="3:20" x14ac:dyDescent="0.35">
      <c r="C44" s="34" t="s">
        <v>64</v>
      </c>
      <c r="D44" s="34" t="str">
        <f>_xlfn.XLOOKUP(C44,'Vendor List'!$B$2:$B$51,'Vendor List'!$C$2:$C$51,"NA")</f>
        <v>P</v>
      </c>
      <c r="E44" s="34" t="s">
        <v>48</v>
      </c>
      <c r="F44" s="35">
        <v>6470</v>
      </c>
      <c r="G44" s="35">
        <v>6470</v>
      </c>
      <c r="H44" s="35">
        <v>0</v>
      </c>
      <c r="I44" s="35">
        <f t="shared" si="12"/>
        <v>6470</v>
      </c>
      <c r="J44" s="35">
        <f t="shared" si="13"/>
        <v>0</v>
      </c>
    </row>
    <row r="45" spans="3:20" x14ac:dyDescent="0.35">
      <c r="C45" s="34" t="s">
        <v>67</v>
      </c>
      <c r="D45" s="34" t="str">
        <f>_xlfn.XLOOKUP(C45,'Vendor List'!$B$2:$B$51,'Vendor List'!$C$2:$C$51,"NA")</f>
        <v>P</v>
      </c>
      <c r="E45" s="34" t="s">
        <v>68</v>
      </c>
      <c r="F45" s="35">
        <v>329086.55</v>
      </c>
      <c r="G45" s="35">
        <v>0</v>
      </c>
      <c r="H45" s="35">
        <v>0</v>
      </c>
      <c r="I45" s="35">
        <f t="shared" si="12"/>
        <v>0</v>
      </c>
      <c r="J45" s="35">
        <f t="shared" si="13"/>
        <v>329086.55</v>
      </c>
    </row>
    <row r="46" spans="3:20" x14ac:dyDescent="0.35">
      <c r="C46" s="34" t="s">
        <v>67</v>
      </c>
      <c r="D46" s="34" t="str">
        <f>_xlfn.XLOOKUP(C46,'Vendor List'!$B$2:$B$51,'Vendor List'!$C$2:$C$51,"NA")</f>
        <v>P</v>
      </c>
      <c r="E46" s="34" t="s">
        <v>40</v>
      </c>
      <c r="F46" s="35">
        <v>68075.7</v>
      </c>
      <c r="G46" s="35">
        <v>0</v>
      </c>
      <c r="H46" s="35">
        <v>0</v>
      </c>
      <c r="I46" s="35">
        <f t="shared" si="12"/>
        <v>0</v>
      </c>
      <c r="J46" s="35">
        <f t="shared" si="13"/>
        <v>68075.7</v>
      </c>
    </row>
    <row r="47" spans="3:20" x14ac:dyDescent="0.35">
      <c r="C47" s="34" t="s">
        <v>69</v>
      </c>
      <c r="D47" s="34" t="str">
        <f>_xlfn.XLOOKUP(C47,'Vendor List'!$B$2:$B$51,'Vendor List'!$C$2:$C$51,"NA")</f>
        <v>P</v>
      </c>
      <c r="E47" s="34" t="s">
        <v>44</v>
      </c>
      <c r="F47" s="35">
        <v>40000</v>
      </c>
      <c r="G47" s="35">
        <v>0</v>
      </c>
      <c r="H47" s="35">
        <v>0</v>
      </c>
      <c r="I47" s="35">
        <f t="shared" si="12"/>
        <v>0</v>
      </c>
      <c r="J47" s="35">
        <f t="shared" si="13"/>
        <v>40000</v>
      </c>
    </row>
    <row r="48" spans="3:20" x14ac:dyDescent="0.35">
      <c r="C48" s="34" t="s">
        <v>45</v>
      </c>
      <c r="D48" s="34" t="str">
        <f>_xlfn.XLOOKUP(C48,'Vendor List'!$B$2:$B$51,'Vendor List'!$C$2:$C$51,"NA")</f>
        <v>P</v>
      </c>
      <c r="E48" s="34" t="s">
        <v>44</v>
      </c>
      <c r="F48" s="35">
        <v>119600</v>
      </c>
      <c r="G48" s="35">
        <v>111200</v>
      </c>
      <c r="H48" s="35">
        <v>8400</v>
      </c>
      <c r="I48" s="35">
        <f t="shared" si="12"/>
        <v>119600</v>
      </c>
      <c r="J48" s="35">
        <f t="shared" si="13"/>
        <v>0</v>
      </c>
    </row>
    <row r="49" spans="3:10" x14ac:dyDescent="0.35">
      <c r="C49" s="34" t="s">
        <v>45</v>
      </c>
      <c r="D49" s="34" t="str">
        <f>_xlfn.XLOOKUP(C49,'Vendor List'!$B$2:$B$51,'Vendor List'!$C$2:$C$51,"NA")</f>
        <v>P</v>
      </c>
      <c r="E49" s="34" t="s">
        <v>65</v>
      </c>
      <c r="F49" s="35">
        <v>109118</v>
      </c>
      <c r="G49" s="35">
        <v>107618</v>
      </c>
      <c r="H49" s="35">
        <v>1500</v>
      </c>
      <c r="I49" s="35">
        <f t="shared" si="12"/>
        <v>109118</v>
      </c>
      <c r="J49" s="35">
        <f t="shared" si="13"/>
        <v>0</v>
      </c>
    </row>
    <row r="50" spans="3:10" x14ac:dyDescent="0.35">
      <c r="C50" s="34" t="s">
        <v>45</v>
      </c>
      <c r="D50" s="34" t="str">
        <f>_xlfn.XLOOKUP(C50,'Vendor List'!$B$2:$B$51,'Vendor List'!$C$2:$C$51,"NA")</f>
        <v>P</v>
      </c>
      <c r="E50" s="34" t="s">
        <v>70</v>
      </c>
      <c r="F50" s="35">
        <v>14974</v>
      </c>
      <c r="G50" s="35">
        <v>14224</v>
      </c>
      <c r="H50" s="35">
        <v>750</v>
      </c>
      <c r="I50" s="35">
        <f t="shared" si="12"/>
        <v>14974</v>
      </c>
      <c r="J50" s="35">
        <f t="shared" si="13"/>
        <v>0</v>
      </c>
    </row>
    <row r="51" spans="3:10" x14ac:dyDescent="0.35">
      <c r="C51" s="34" t="s">
        <v>45</v>
      </c>
      <c r="D51" s="34" t="str">
        <f>_xlfn.XLOOKUP(C51,'Vendor List'!$B$2:$B$51,'Vendor List'!$C$2:$C$51,"NA")</f>
        <v>P</v>
      </c>
      <c r="E51" s="34" t="s">
        <v>66</v>
      </c>
      <c r="F51" s="35">
        <v>18000</v>
      </c>
      <c r="G51" s="35">
        <v>18000</v>
      </c>
      <c r="H51" s="35">
        <v>0</v>
      </c>
      <c r="I51" s="35">
        <f t="shared" si="12"/>
        <v>18000</v>
      </c>
      <c r="J51" s="35">
        <f t="shared" si="13"/>
        <v>0</v>
      </c>
    </row>
    <row r="52" spans="3:10" x14ac:dyDescent="0.35">
      <c r="C52" s="34" t="s">
        <v>45</v>
      </c>
      <c r="D52" s="34" t="str">
        <f>_xlfn.XLOOKUP(C52,'Vendor List'!$B$2:$B$51,'Vendor List'!$C$2:$C$51,"NA")</f>
        <v>P</v>
      </c>
      <c r="E52" s="34" t="s">
        <v>48</v>
      </c>
      <c r="F52" s="35">
        <v>90000</v>
      </c>
      <c r="G52" s="35">
        <v>90000</v>
      </c>
      <c r="H52" s="35">
        <v>0</v>
      </c>
      <c r="I52" s="35">
        <f t="shared" si="12"/>
        <v>90000</v>
      </c>
      <c r="J52" s="35">
        <f t="shared" si="13"/>
        <v>0</v>
      </c>
    </row>
    <row r="53" spans="3:10" x14ac:dyDescent="0.35">
      <c r="C53" s="34" t="s">
        <v>45</v>
      </c>
      <c r="D53" s="34" t="str">
        <f>_xlfn.XLOOKUP(C53,'Vendor List'!$B$2:$B$51,'Vendor List'!$C$2:$C$51,"NA")</f>
        <v>P</v>
      </c>
      <c r="E53" s="34" t="s">
        <v>37</v>
      </c>
      <c r="F53" s="35">
        <v>168802</v>
      </c>
      <c r="G53" s="35">
        <v>139765</v>
      </c>
      <c r="H53" s="35">
        <v>29037</v>
      </c>
      <c r="I53" s="35">
        <f t="shared" si="12"/>
        <v>168802</v>
      </c>
      <c r="J53" s="35">
        <f t="shared" si="13"/>
        <v>0</v>
      </c>
    </row>
    <row r="54" spans="3:10" x14ac:dyDescent="0.35">
      <c r="C54" s="34" t="s">
        <v>71</v>
      </c>
      <c r="D54" s="34" t="str">
        <f>_xlfn.XLOOKUP(C54,'Vendor List'!$B$2:$B$51,'Vendor List'!$C$2:$C$51,"NA")</f>
        <v>P</v>
      </c>
      <c r="E54" s="34" t="s">
        <v>37</v>
      </c>
      <c r="F54" s="35">
        <v>8400</v>
      </c>
      <c r="G54" s="35">
        <v>0</v>
      </c>
      <c r="H54" s="35">
        <v>0</v>
      </c>
      <c r="I54" s="35">
        <f t="shared" si="12"/>
        <v>0</v>
      </c>
      <c r="J54" s="35">
        <f t="shared" si="13"/>
        <v>8400</v>
      </c>
    </row>
    <row r="55" spans="3:10" x14ac:dyDescent="0.35">
      <c r="C55" s="34" t="s">
        <v>67</v>
      </c>
      <c r="D55" s="34" t="str">
        <f>_xlfn.XLOOKUP(C55,'Vendor List'!$B$2:$B$51,'Vendor List'!$C$2:$C$51,"NA")</f>
        <v>P</v>
      </c>
      <c r="E55" s="34" t="s">
        <v>48</v>
      </c>
      <c r="F55" s="35">
        <v>311142.97000000003</v>
      </c>
      <c r="G55" s="35">
        <v>0</v>
      </c>
      <c r="H55" s="35">
        <v>0</v>
      </c>
      <c r="I55" s="35">
        <f t="shared" si="12"/>
        <v>0</v>
      </c>
      <c r="J55" s="35">
        <f t="shared" si="13"/>
        <v>311142.97000000003</v>
      </c>
    </row>
    <row r="56" spans="3:10" x14ac:dyDescent="0.35">
      <c r="C56" s="34" t="s">
        <v>72</v>
      </c>
      <c r="D56" s="34" t="str">
        <f>_xlfn.XLOOKUP(C56,'Vendor List'!$B$2:$B$51,'Vendor List'!$C$2:$C$51,"NA")</f>
        <v>P</v>
      </c>
      <c r="E56" s="34" t="s">
        <v>44</v>
      </c>
      <c r="F56" s="35">
        <v>89900</v>
      </c>
      <c r="G56" s="35">
        <v>0</v>
      </c>
      <c r="H56" s="35">
        <v>0</v>
      </c>
      <c r="I56" s="35">
        <f t="shared" si="12"/>
        <v>0</v>
      </c>
      <c r="J56" s="35">
        <f t="shared" si="13"/>
        <v>89900</v>
      </c>
    </row>
    <row r="57" spans="3:10" x14ac:dyDescent="0.35">
      <c r="C57" s="34" t="s">
        <v>73</v>
      </c>
      <c r="D57" s="34" t="str">
        <f>_xlfn.XLOOKUP(C57,'Vendor List'!$B$2:$B$51,'Vendor List'!$C$2:$C$51,"NA")</f>
        <v>P</v>
      </c>
      <c r="E57" s="34" t="s">
        <v>40</v>
      </c>
      <c r="F57" s="35">
        <v>237699</v>
      </c>
      <c r="G57" s="35">
        <v>1000</v>
      </c>
      <c r="H57" s="35">
        <v>17605</v>
      </c>
      <c r="I57" s="35">
        <f t="shared" si="12"/>
        <v>18605</v>
      </c>
      <c r="J57" s="35">
        <f t="shared" si="13"/>
        <v>219094</v>
      </c>
    </row>
    <row r="58" spans="3:10" x14ac:dyDescent="0.35">
      <c r="C58" s="34" t="s">
        <v>73</v>
      </c>
      <c r="D58" s="34" t="str">
        <f>_xlfn.XLOOKUP(C58,'Vendor List'!$B$2:$B$51,'Vendor List'!$C$2:$C$51,"NA")</f>
        <v>P</v>
      </c>
      <c r="E58" s="34" t="s">
        <v>74</v>
      </c>
      <c r="F58" s="35">
        <v>1875</v>
      </c>
      <c r="G58" s="35">
        <v>550</v>
      </c>
      <c r="H58" s="35">
        <v>950</v>
      </c>
      <c r="I58" s="35">
        <f t="shared" si="12"/>
        <v>1500</v>
      </c>
      <c r="J58" s="35">
        <f t="shared" si="13"/>
        <v>375</v>
      </c>
    </row>
    <row r="59" spans="3:10" x14ac:dyDescent="0.35">
      <c r="C59" s="34" t="s">
        <v>72</v>
      </c>
      <c r="D59" s="34" t="str">
        <f>_xlfn.XLOOKUP(C59,'Vendor List'!$B$2:$B$51,'Vendor List'!$C$2:$C$51,"NA")</f>
        <v>P</v>
      </c>
      <c r="E59" s="34" t="s">
        <v>48</v>
      </c>
      <c r="F59" s="35">
        <v>78460</v>
      </c>
      <c r="G59" s="35">
        <v>0</v>
      </c>
      <c r="H59" s="35">
        <v>0</v>
      </c>
      <c r="I59" s="35">
        <f t="shared" si="12"/>
        <v>0</v>
      </c>
      <c r="J59" s="35">
        <f t="shared" si="13"/>
        <v>78460</v>
      </c>
    </row>
    <row r="60" spans="3:10" x14ac:dyDescent="0.35">
      <c r="C60" s="34" t="s">
        <v>72</v>
      </c>
      <c r="D60" s="34" t="str">
        <f>_xlfn.XLOOKUP(C60,'Vendor List'!$B$2:$B$51,'Vendor List'!$C$2:$C$51,"NA")</f>
        <v>P</v>
      </c>
      <c r="E60" s="34" t="s">
        <v>37</v>
      </c>
      <c r="F60" s="35">
        <v>2120</v>
      </c>
      <c r="G60" s="35">
        <v>0</v>
      </c>
      <c r="H60" s="35">
        <v>0</v>
      </c>
      <c r="I60" s="35">
        <f t="shared" si="12"/>
        <v>0</v>
      </c>
      <c r="J60" s="35">
        <f t="shared" si="13"/>
        <v>2120</v>
      </c>
    </row>
    <row r="61" spans="3:10" x14ac:dyDescent="0.35">
      <c r="C61" s="34" t="s">
        <v>75</v>
      </c>
      <c r="D61" s="34" t="str">
        <f>_xlfn.XLOOKUP(C61,'Vendor List'!$B$2:$B$51,'Vendor List'!$C$2:$C$51,"NA")</f>
        <v>P</v>
      </c>
      <c r="E61" s="34" t="s">
        <v>37</v>
      </c>
      <c r="F61" s="35">
        <v>150000</v>
      </c>
      <c r="G61" s="35">
        <v>150000</v>
      </c>
      <c r="H61" s="35">
        <v>0</v>
      </c>
      <c r="I61" s="35">
        <f t="shared" si="12"/>
        <v>150000</v>
      </c>
      <c r="J61" s="35">
        <f t="shared" si="13"/>
        <v>0</v>
      </c>
    </row>
    <row r="62" spans="3:10" x14ac:dyDescent="0.35">
      <c r="C62" s="34" t="s">
        <v>76</v>
      </c>
      <c r="D62" s="34" t="str">
        <f>_xlfn.XLOOKUP(C62,'Vendor List'!$B$2:$B$51,'Vendor List'!$C$2:$C$51,"NA")</f>
        <v>C</v>
      </c>
      <c r="E62" s="34" t="s">
        <v>48</v>
      </c>
      <c r="F62" s="35">
        <v>1205458</v>
      </c>
      <c r="G62" s="35">
        <v>0</v>
      </c>
      <c r="H62" s="35">
        <v>0</v>
      </c>
      <c r="I62" s="35">
        <f t="shared" si="12"/>
        <v>0</v>
      </c>
      <c r="J62" s="35">
        <f t="shared" si="13"/>
        <v>1205458</v>
      </c>
    </row>
    <row r="63" spans="3:10" x14ac:dyDescent="0.35">
      <c r="C63" s="34" t="s">
        <v>39</v>
      </c>
      <c r="D63" s="34" t="str">
        <f>_xlfn.XLOOKUP(C63,'Vendor List'!$B$2:$B$51,'Vendor List'!$C$2:$C$51,"NA")</f>
        <v>C</v>
      </c>
      <c r="E63" s="34" t="s">
        <v>77</v>
      </c>
      <c r="F63" s="35">
        <v>160656.84</v>
      </c>
      <c r="G63" s="35">
        <v>0</v>
      </c>
      <c r="H63" s="35">
        <v>2650</v>
      </c>
      <c r="I63" s="35">
        <f t="shared" si="12"/>
        <v>2650</v>
      </c>
      <c r="J63" s="35">
        <f t="shared" si="13"/>
        <v>158006.84</v>
      </c>
    </row>
    <row r="64" spans="3:10" x14ac:dyDescent="0.35">
      <c r="C64" s="34" t="s">
        <v>64</v>
      </c>
      <c r="D64" s="34" t="str">
        <f>_xlfn.XLOOKUP(C64,'Vendor List'!$B$2:$B$51,'Vendor List'!$C$2:$C$51,"NA")</f>
        <v>P</v>
      </c>
      <c r="E64" s="34" t="s">
        <v>42</v>
      </c>
      <c r="F64" s="35">
        <v>8190</v>
      </c>
      <c r="G64" s="35">
        <v>6490</v>
      </c>
      <c r="H64" s="35">
        <v>0</v>
      </c>
      <c r="I64" s="35">
        <f t="shared" si="12"/>
        <v>6490</v>
      </c>
      <c r="J64" s="35">
        <f t="shared" si="13"/>
        <v>1700</v>
      </c>
    </row>
    <row r="65" spans="3:10" x14ac:dyDescent="0.35">
      <c r="C65" s="34" t="s">
        <v>78</v>
      </c>
      <c r="D65" s="34" t="str">
        <f>_xlfn.XLOOKUP(C65,'Vendor List'!$B$2:$B$51,'Vendor List'!$C$2:$C$51,"NA")</f>
        <v>P</v>
      </c>
      <c r="E65" s="34" t="s">
        <v>37</v>
      </c>
      <c r="F65" s="35">
        <v>264000</v>
      </c>
      <c r="G65" s="35">
        <v>0</v>
      </c>
      <c r="H65" s="35">
        <v>0</v>
      </c>
      <c r="I65" s="35">
        <f t="shared" si="12"/>
        <v>0</v>
      </c>
      <c r="J65" s="35">
        <f t="shared" si="13"/>
        <v>264000</v>
      </c>
    </row>
    <row r="66" spans="3:10" x14ac:dyDescent="0.35">
      <c r="C66" s="34" t="s">
        <v>79</v>
      </c>
      <c r="D66" s="34" t="str">
        <f>_xlfn.XLOOKUP(C66,'Vendor List'!$B$2:$B$51,'Vendor List'!$C$2:$C$51,"NA")</f>
        <v>P</v>
      </c>
      <c r="E66" s="34" t="s">
        <v>48</v>
      </c>
      <c r="F66" s="35">
        <v>1806.25</v>
      </c>
      <c r="G66" s="35">
        <v>0</v>
      </c>
      <c r="H66" s="35">
        <v>0</v>
      </c>
      <c r="I66" s="35">
        <f t="shared" si="12"/>
        <v>0</v>
      </c>
      <c r="J66" s="35">
        <f t="shared" si="13"/>
        <v>1806.25</v>
      </c>
    </row>
    <row r="67" spans="3:10" x14ac:dyDescent="0.35">
      <c r="C67" s="34" t="s">
        <v>80</v>
      </c>
      <c r="D67" s="34" t="str">
        <f>_xlfn.XLOOKUP(C67,'Vendor List'!$B$2:$B$51,'Vendor List'!$C$2:$C$51,"NA")</f>
        <v>P</v>
      </c>
      <c r="E67" s="34" t="s">
        <v>42</v>
      </c>
      <c r="F67" s="35">
        <v>6442.5</v>
      </c>
      <c r="G67" s="35">
        <v>6442.5</v>
      </c>
      <c r="H67" s="35">
        <v>0</v>
      </c>
      <c r="I67" s="35">
        <f t="shared" si="12"/>
        <v>6442.5</v>
      </c>
      <c r="J67" s="35">
        <f t="shared" si="13"/>
        <v>0</v>
      </c>
    </row>
    <row r="68" spans="3:10" x14ac:dyDescent="0.35">
      <c r="C68" s="34" t="s">
        <v>81</v>
      </c>
      <c r="D68" s="34" t="str">
        <f>_xlfn.XLOOKUP(C68,'Vendor List'!$B$2:$B$51,'Vendor List'!$C$2:$C$51,"NA")</f>
        <v>P</v>
      </c>
      <c r="E68" s="34" t="s">
        <v>68</v>
      </c>
      <c r="F68" s="35">
        <v>47200</v>
      </c>
      <c r="G68" s="35">
        <v>4250</v>
      </c>
      <c r="H68" s="35">
        <v>0</v>
      </c>
      <c r="I68" s="35">
        <f t="shared" si="12"/>
        <v>4250</v>
      </c>
      <c r="J68" s="35">
        <f t="shared" si="13"/>
        <v>42950</v>
      </c>
    </row>
    <row r="69" spans="3:10" x14ac:dyDescent="0.35">
      <c r="C69" s="34" t="s">
        <v>82</v>
      </c>
      <c r="D69" s="34" t="str">
        <f>_xlfn.XLOOKUP(C69,'Vendor List'!$B$2:$B$51,'Vendor List'!$C$2:$C$51,"NA")</f>
        <v>P</v>
      </c>
      <c r="E69" s="34" t="s">
        <v>48</v>
      </c>
      <c r="F69" s="35">
        <v>223667</v>
      </c>
      <c r="G69" s="35">
        <f>F69</f>
        <v>223667</v>
      </c>
      <c r="H69" s="35">
        <v>0</v>
      </c>
      <c r="I69" s="35">
        <f t="shared" si="12"/>
        <v>223667</v>
      </c>
      <c r="J69" s="35">
        <f t="shared" si="13"/>
        <v>0</v>
      </c>
    </row>
    <row r="70" spans="3:10" x14ac:dyDescent="0.35">
      <c r="C70" s="34" t="s">
        <v>83</v>
      </c>
      <c r="D70" s="34" t="str">
        <f>_xlfn.XLOOKUP(C70,'Vendor List'!$B$2:$B$51,'Vendor List'!$C$2:$C$51,"NA")</f>
        <v>C</v>
      </c>
      <c r="E70" s="34" t="s">
        <v>37</v>
      </c>
      <c r="F70" s="35">
        <v>417693</v>
      </c>
      <c r="G70" s="35">
        <v>0</v>
      </c>
      <c r="H70" s="35">
        <v>0</v>
      </c>
      <c r="I70" s="35">
        <f t="shared" si="12"/>
        <v>0</v>
      </c>
      <c r="J70" s="35">
        <f t="shared" si="13"/>
        <v>417693</v>
      </c>
    </row>
    <row r="71" spans="3:10" x14ac:dyDescent="0.35">
      <c r="C71" s="36" t="s">
        <v>84</v>
      </c>
      <c r="D71" s="36" t="str">
        <f>_xlfn.XLOOKUP(C71,'Vendor List'!$B$2:$B$51,'Vendor List'!$C$2:$C$51,"NA")</f>
        <v>P</v>
      </c>
      <c r="E71" s="36" t="s">
        <v>37</v>
      </c>
      <c r="F71" s="37">
        <v>71150</v>
      </c>
      <c r="G71" s="37">
        <v>0</v>
      </c>
      <c r="H71" s="37">
        <v>0</v>
      </c>
      <c r="I71" s="37">
        <f t="shared" si="12"/>
        <v>0</v>
      </c>
      <c r="J71" s="37">
        <f t="shared" si="13"/>
        <v>71150</v>
      </c>
    </row>
    <row r="72" spans="3:10" x14ac:dyDescent="0.35">
      <c r="C72" s="34" t="s">
        <v>85</v>
      </c>
      <c r="D72" s="34" t="str">
        <f>_xlfn.XLOOKUP(C72,'Vendor List'!$B$2:$B$51,'Vendor List'!$C$2:$C$51,"NA")</f>
        <v>P</v>
      </c>
      <c r="E72" s="34" t="s">
        <v>50</v>
      </c>
      <c r="F72" s="35">
        <v>461150</v>
      </c>
      <c r="G72" s="37">
        <v>352250</v>
      </c>
      <c r="H72" s="37"/>
      <c r="I72" s="37">
        <f t="shared" si="12"/>
        <v>352250</v>
      </c>
      <c r="J72" s="35">
        <f t="shared" si="13"/>
        <v>108900</v>
      </c>
    </row>
    <row r="73" spans="3:10" x14ac:dyDescent="0.35">
      <c r="C73" s="34" t="s">
        <v>86</v>
      </c>
      <c r="D73" s="34" t="str">
        <f>_xlfn.XLOOKUP(C73,'Vendor List'!$B$2:$B$51,'Vendor List'!$C$2:$C$51,"NA")</f>
        <v>P</v>
      </c>
      <c r="E73" s="34" t="s">
        <v>37</v>
      </c>
      <c r="F73" s="35">
        <v>136500</v>
      </c>
      <c r="G73" s="37">
        <v>0</v>
      </c>
      <c r="H73" s="37">
        <v>0</v>
      </c>
      <c r="I73" s="37">
        <f t="shared" si="12"/>
        <v>0</v>
      </c>
      <c r="J73" s="35">
        <f t="shared" si="13"/>
        <v>136500</v>
      </c>
    </row>
    <row r="74" spans="3:10" x14ac:dyDescent="0.35">
      <c r="C74" s="34" t="s">
        <v>52</v>
      </c>
      <c r="D74" s="34" t="str">
        <f>_xlfn.XLOOKUP(C74,'Vendor List'!$B$2:$B$51,'Vendor List'!$C$2:$C$51,"NA")</f>
        <v>C</v>
      </c>
      <c r="E74" s="34" t="s">
        <v>66</v>
      </c>
      <c r="F74" s="35">
        <v>69396.23000000001</v>
      </c>
      <c r="G74" s="37">
        <v>1191.3399999999999</v>
      </c>
      <c r="H74" s="37">
        <v>39187.9</v>
      </c>
      <c r="I74" s="37">
        <f t="shared" si="12"/>
        <v>40379.24</v>
      </c>
      <c r="J74" s="35">
        <f t="shared" si="13"/>
        <v>29016.990000000013</v>
      </c>
    </row>
    <row r="75" spans="3:10" x14ac:dyDescent="0.35">
      <c r="C75" s="34" t="s">
        <v>52</v>
      </c>
      <c r="D75" s="34" t="str">
        <f>_xlfn.XLOOKUP(C75,'Vendor List'!$B$2:$B$51,'Vendor List'!$C$2:$C$51,"NA")</f>
        <v>C</v>
      </c>
      <c r="E75" s="34" t="s">
        <v>68</v>
      </c>
      <c r="F75" s="35">
        <v>979948.56</v>
      </c>
      <c r="G75" s="35">
        <f>35599.19+48051.91</f>
        <v>83651.100000000006</v>
      </c>
      <c r="H75" s="35">
        <f>136565.61+20512.07</f>
        <v>157077.68</v>
      </c>
      <c r="I75" s="35">
        <f t="shared" si="12"/>
        <v>240728.78</v>
      </c>
      <c r="J75" s="35">
        <f t="shared" si="13"/>
        <v>739219.78</v>
      </c>
    </row>
    <row r="76" spans="3:10" x14ac:dyDescent="0.35">
      <c r="C76" s="34" t="s">
        <v>87</v>
      </c>
      <c r="D76" s="34" t="str">
        <f>_xlfn.XLOOKUP(C76,'Vendor List'!$B$2:$B$51,'Vendor List'!$C$2:$C$51,"NA")</f>
        <v>P</v>
      </c>
      <c r="E76" s="34" t="s">
        <v>37</v>
      </c>
      <c r="F76" s="35">
        <v>60000</v>
      </c>
      <c r="G76" s="35">
        <v>60000</v>
      </c>
      <c r="H76" s="35">
        <v>0</v>
      </c>
      <c r="I76" s="35">
        <f t="shared" si="12"/>
        <v>60000</v>
      </c>
      <c r="J76" s="35">
        <f t="shared" si="13"/>
        <v>0</v>
      </c>
    </row>
    <row r="77" spans="3:10" x14ac:dyDescent="0.35">
      <c r="C77" s="34" t="s">
        <v>88</v>
      </c>
      <c r="D77" s="34" t="str">
        <f>_xlfn.XLOOKUP(C77,'Vendor List'!$B$2:$B$51,'Vendor List'!$C$2:$C$51,"NA")</f>
        <v>P</v>
      </c>
      <c r="E77" s="34" t="s">
        <v>37</v>
      </c>
      <c r="F77" s="35">
        <v>12000</v>
      </c>
      <c r="G77" s="35">
        <v>0</v>
      </c>
      <c r="H77" s="35">
        <v>0</v>
      </c>
      <c r="I77" s="35">
        <f t="shared" si="12"/>
        <v>0</v>
      </c>
      <c r="J77" s="35">
        <f t="shared" si="13"/>
        <v>12000</v>
      </c>
    </row>
    <row r="78" spans="3:10" x14ac:dyDescent="0.35">
      <c r="C78" s="34" t="s">
        <v>43</v>
      </c>
      <c r="D78" s="34" t="str">
        <f>_xlfn.XLOOKUP(C78,'Vendor List'!$B$2:$B$51,'Vendor List'!$C$2:$C$51,"NA")</f>
        <v>P</v>
      </c>
      <c r="E78" s="34" t="s">
        <v>48</v>
      </c>
      <c r="F78" s="35">
        <v>36000</v>
      </c>
      <c r="G78" s="35">
        <v>0</v>
      </c>
      <c r="H78" s="35">
        <v>0</v>
      </c>
      <c r="I78" s="35">
        <f t="shared" si="12"/>
        <v>0</v>
      </c>
      <c r="J78" s="35">
        <f t="shared" si="13"/>
        <v>36000</v>
      </c>
    </row>
    <row r="79" spans="3:10" ht="15" thickBot="1" x14ac:dyDescent="0.4">
      <c r="C79" s="17" t="s">
        <v>89</v>
      </c>
      <c r="D79" s="17"/>
      <c r="E79" s="18"/>
      <c r="F79" s="19">
        <f>SUM(F33:F78)</f>
        <v>19359935.609999999</v>
      </c>
      <c r="G79" s="19">
        <f t="shared" ref="G79:I79" si="14">SUM(G33:G78)</f>
        <v>7589895.2899999991</v>
      </c>
      <c r="H79" s="19">
        <f t="shared" si="14"/>
        <v>798802.27</v>
      </c>
      <c r="I79" s="19">
        <f t="shared" si="14"/>
        <v>8388697.5600000005</v>
      </c>
      <c r="J79" s="19">
        <f>SUM(J33:J78)</f>
        <v>10971238.049999999</v>
      </c>
    </row>
    <row r="80" spans="3:10" ht="15" thickTop="1" x14ac:dyDescent="0.35">
      <c r="C80" s="12" t="s">
        <v>90</v>
      </c>
      <c r="D80" s="12"/>
      <c r="E80" s="1"/>
      <c r="F80" s="13">
        <f>F79+F26</f>
        <v>25098859.489999998</v>
      </c>
      <c r="G80" s="3">
        <f>G79+G26</f>
        <v>7958360.959999999</v>
      </c>
      <c r="H80" s="3">
        <f>H79+H26</f>
        <v>1119162.27</v>
      </c>
      <c r="I80" s="3">
        <f>I79+I26</f>
        <v>9077523.2300000004</v>
      </c>
      <c r="J80" s="3">
        <f>J79+J26</f>
        <v>16021336.259999998</v>
      </c>
    </row>
    <row r="81" spans="5:15" x14ac:dyDescent="0.35">
      <c r="F81" s="3"/>
      <c r="G81" s="44">
        <f>G80/$F$80</f>
        <v>0.31708058141728734</v>
      </c>
      <c r="H81" s="44">
        <f>H80/$F$80</f>
        <v>4.4590164363679623E-2</v>
      </c>
      <c r="I81" s="44">
        <f>I80/$F$80</f>
        <v>0.36167074578096697</v>
      </c>
      <c r="J81" s="44">
        <f>J80/$F$80</f>
        <v>0.63832925421903297</v>
      </c>
    </row>
    <row r="82" spans="5:15" x14ac:dyDescent="0.35">
      <c r="E82" s="33"/>
    </row>
    <row r="83" spans="5:15" x14ac:dyDescent="0.35">
      <c r="E83" s="33"/>
    </row>
    <row r="84" spans="5:15" x14ac:dyDescent="0.35">
      <c r="E84" s="33"/>
    </row>
    <row r="85" spans="5:15" x14ac:dyDescent="0.35">
      <c r="E85" s="33"/>
      <c r="J85" s="32"/>
      <c r="K85" s="6"/>
      <c r="L85" s="6"/>
      <c r="M85" s="6"/>
      <c r="N85" s="6"/>
      <c r="O85" s="91"/>
    </row>
    <row r="86" spans="5:15" x14ac:dyDescent="0.35">
      <c r="I86" s="45"/>
    </row>
    <row r="87" spans="5:15" x14ac:dyDescent="0.35">
      <c r="I87" s="45"/>
    </row>
    <row r="88" spans="5:15" x14ac:dyDescent="0.35">
      <c r="I88" s="45"/>
    </row>
    <row r="89" spans="5:15" x14ac:dyDescent="0.35">
      <c r="I89" s="45"/>
    </row>
    <row r="90" spans="5:15" x14ac:dyDescent="0.35">
      <c r="I90" s="45"/>
    </row>
    <row r="91" spans="5:15" x14ac:dyDescent="0.35">
      <c r="I91" s="45"/>
    </row>
    <row r="92" spans="5:15" x14ac:dyDescent="0.35">
      <c r="I92" s="45"/>
    </row>
    <row r="93" spans="5:15" x14ac:dyDescent="0.35">
      <c r="I93" s="45"/>
    </row>
    <row r="94" spans="5:15" x14ac:dyDescent="0.35">
      <c r="I94" s="45"/>
    </row>
    <row r="95" spans="5:15" x14ac:dyDescent="0.35">
      <c r="I95" s="45"/>
    </row>
    <row r="96" spans="5:15" x14ac:dyDescent="0.35">
      <c r="I96" s="45"/>
    </row>
    <row r="97" spans="9:9" x14ac:dyDescent="0.35">
      <c r="I97" s="45"/>
    </row>
    <row r="98" spans="9:9" x14ac:dyDescent="0.35">
      <c r="I98" s="45"/>
    </row>
    <row r="99" spans="9:9" x14ac:dyDescent="0.35">
      <c r="I99" s="45"/>
    </row>
    <row r="100" spans="9:9" x14ac:dyDescent="0.35">
      <c r="I100" s="45"/>
    </row>
    <row r="101" spans="9:9" x14ac:dyDescent="0.35">
      <c r="I101" s="45"/>
    </row>
  </sheetData>
  <autoFilter ref="C32:J80" xr:uid="{8B9A27FF-1F4A-4A15-B747-57FBF9713347}"/>
  <conditionalFormatting sqref="F8:G8">
    <cfRule type="duplicateValues" dxfId="2" priority="10"/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CE37-61E8-4BAC-852D-E81EF6F13D2E}">
  <dimension ref="A2:S63"/>
  <sheetViews>
    <sheetView tabSelected="1" zoomScale="90" zoomScaleNormal="90" workbookViewId="0">
      <selection activeCell="G69" sqref="G69"/>
    </sheetView>
  </sheetViews>
  <sheetFormatPr defaultRowHeight="14.5" x14ac:dyDescent="0.35"/>
  <cols>
    <col min="1" max="1" width="11.7265625" bestFit="1" customWidth="1"/>
    <col min="2" max="2" width="4.1796875" bestFit="1" customWidth="1"/>
    <col min="3" max="3" width="40.81640625" customWidth="1"/>
    <col min="4" max="4" width="7.1796875" customWidth="1"/>
    <col min="5" max="5" width="17.81640625" bestFit="1" customWidth="1"/>
    <col min="6" max="6" width="27.26953125" bestFit="1" customWidth="1"/>
    <col min="7" max="7" width="17.7265625" bestFit="1" customWidth="1"/>
    <col min="8" max="8" width="21.7265625" customWidth="1"/>
    <col min="9" max="9" width="16.7265625" customWidth="1"/>
    <col min="10" max="10" width="17" style="3" customWidth="1"/>
    <col min="11" max="11" width="16" style="3" customWidth="1"/>
    <col min="12" max="12" width="15.54296875" style="3" customWidth="1"/>
    <col min="13" max="13" width="15.81640625" style="3" customWidth="1"/>
    <col min="14" max="14" width="16.81640625" style="3" customWidth="1"/>
    <col min="15" max="15" width="7.81640625" style="77" customWidth="1"/>
    <col min="16" max="16" width="29.81640625" bestFit="1" customWidth="1"/>
  </cols>
  <sheetData>
    <row r="2" spans="1:15" x14ac:dyDescent="0.35">
      <c r="C2" s="22" t="s">
        <v>28</v>
      </c>
      <c r="D2" s="22"/>
    </row>
    <row r="3" spans="1:15" x14ac:dyDescent="0.35">
      <c r="C3" s="2" t="s">
        <v>91</v>
      </c>
      <c r="D3" s="2"/>
      <c r="I3" s="9"/>
      <c r="J3" s="9"/>
      <c r="K3" s="4"/>
      <c r="L3" s="4"/>
      <c r="M3" s="4"/>
      <c r="N3" s="4"/>
      <c r="O3" s="79"/>
    </row>
    <row r="4" spans="1:15" x14ac:dyDescent="0.35">
      <c r="C4" s="2"/>
      <c r="D4" s="2"/>
      <c r="I4" s="9"/>
      <c r="J4" s="9"/>
      <c r="K4" s="4"/>
      <c r="L4" s="4"/>
      <c r="M4" s="4"/>
      <c r="N4" s="4"/>
      <c r="O4" s="79"/>
    </row>
    <row r="5" spans="1:15" x14ac:dyDescent="0.35">
      <c r="C5" s="2"/>
      <c r="D5" s="2"/>
      <c r="I5" s="9"/>
      <c r="J5" s="9"/>
      <c r="K5" s="4"/>
      <c r="L5" s="4"/>
      <c r="M5" s="4"/>
      <c r="N5" s="4"/>
      <c r="O5" s="79"/>
    </row>
    <row r="6" spans="1:15" x14ac:dyDescent="0.35">
      <c r="C6" s="1" t="s">
        <v>92</v>
      </c>
      <c r="D6" s="2"/>
      <c r="I6" s="9"/>
      <c r="J6" s="9"/>
      <c r="K6" s="4"/>
      <c r="L6" s="4"/>
      <c r="M6" s="4"/>
      <c r="N6" s="4"/>
      <c r="O6" s="79"/>
    </row>
    <row r="7" spans="1:15" x14ac:dyDescent="0.35">
      <c r="D7" s="2"/>
      <c r="E7" s="55" t="s">
        <v>2</v>
      </c>
      <c r="F7" s="55" t="s">
        <v>3</v>
      </c>
      <c r="G7" s="55" t="s">
        <v>4</v>
      </c>
      <c r="H7" s="55" t="s">
        <v>5</v>
      </c>
      <c r="I7" s="55" t="s">
        <v>6</v>
      </c>
      <c r="J7" s="70" t="s">
        <v>7</v>
      </c>
      <c r="K7" s="68" t="s">
        <v>8</v>
      </c>
      <c r="L7" s="4" t="s">
        <v>9</v>
      </c>
      <c r="M7" s="4"/>
      <c r="N7" s="4"/>
      <c r="O7" s="79"/>
    </row>
    <row r="8" spans="1:15" x14ac:dyDescent="0.35">
      <c r="C8" s="61" t="s">
        <v>11</v>
      </c>
      <c r="D8" s="2"/>
      <c r="E8" s="56">
        <f>SUMIFS(F$15:F$79,$D$15:$D$79,"P")</f>
        <v>1654755.2</v>
      </c>
      <c r="F8" s="56">
        <f>SUMIFS(G$15:G$79,$D$15:$D$79,"P")</f>
        <v>477605</v>
      </c>
      <c r="G8" s="56">
        <f>SUMIFS(H$15:H$79,$D$15:$D$79,"P")</f>
        <v>35360</v>
      </c>
      <c r="H8" s="57">
        <f>SUM(F8:G8)</f>
        <v>512965</v>
      </c>
      <c r="I8" s="57">
        <f>E8-H8</f>
        <v>1141790.2</v>
      </c>
      <c r="J8" s="71">
        <f>F8/$E$8</f>
        <v>0.28862577377004162</v>
      </c>
      <c r="K8" s="66">
        <f t="shared" ref="K8:L8" si="0">G8/$E$8</f>
        <v>2.1368719675272815E-2</v>
      </c>
      <c r="L8" s="66">
        <f t="shared" si="0"/>
        <v>0.30999449344531443</v>
      </c>
      <c r="M8" s="4"/>
      <c r="N8" s="4"/>
      <c r="O8" s="79"/>
    </row>
    <row r="9" spans="1:15" x14ac:dyDescent="0.35">
      <c r="C9" s="61" t="s">
        <v>12</v>
      </c>
      <c r="D9" s="2"/>
      <c r="E9" s="56">
        <f>SUMIFS(F$15:F$79,$D$15:$D$79,"C")</f>
        <v>13476175.869999999</v>
      </c>
      <c r="F9" s="56">
        <f>SUMIFS(G$15:G$79,$D$15:$D$79,"C")</f>
        <v>801840.54</v>
      </c>
      <c r="G9" s="56">
        <f>SUMIFS(H$15:H$79,$D$15:$D$79,"C")</f>
        <v>1832372.25</v>
      </c>
      <c r="H9" s="57">
        <f>SUM(F9:G9)</f>
        <v>2634212.79</v>
      </c>
      <c r="I9" s="57">
        <f t="shared" ref="I9" si="1">E9-H9</f>
        <v>10841963.079999998</v>
      </c>
      <c r="J9" s="71">
        <f>F9/$E$9</f>
        <v>5.9500599260137149E-2</v>
      </c>
      <c r="K9" s="66">
        <f t="shared" ref="K9:L9" si="2">G9/$E$9</f>
        <v>0.1359712330616831</v>
      </c>
      <c r="L9" s="66">
        <f t="shared" si="2"/>
        <v>0.19547183232182025</v>
      </c>
      <c r="M9" s="4"/>
      <c r="N9" s="4"/>
      <c r="O9" s="79"/>
    </row>
    <row r="10" spans="1:15" x14ac:dyDescent="0.35">
      <c r="C10" s="62" t="s">
        <v>13</v>
      </c>
      <c r="D10" s="60"/>
      <c r="E10" s="63">
        <f>SUM(E8:E9)</f>
        <v>15130931.069999998</v>
      </c>
      <c r="F10" s="63">
        <f t="shared" ref="F10:I10" si="3">SUM(F8:F9)</f>
        <v>1279445.54</v>
      </c>
      <c r="G10" s="63">
        <f t="shared" si="3"/>
        <v>1867732.25</v>
      </c>
      <c r="H10" s="63">
        <f t="shared" si="3"/>
        <v>3147177.79</v>
      </c>
      <c r="I10" s="63">
        <f t="shared" si="3"/>
        <v>11983753.279999997</v>
      </c>
      <c r="J10" s="72">
        <f>F10/$E$10</f>
        <v>8.4558282241913627E-2</v>
      </c>
      <c r="K10" s="65">
        <f t="shared" ref="K10:L10" si="4">G10/$E$10</f>
        <v>0.12343802515253942</v>
      </c>
      <c r="L10" s="65">
        <f t="shared" si="4"/>
        <v>0.20799630739445304</v>
      </c>
      <c r="M10" s="4"/>
      <c r="N10" s="4"/>
      <c r="O10" s="79"/>
    </row>
    <row r="11" spans="1:15" x14ac:dyDescent="0.35">
      <c r="C11" s="2"/>
      <c r="D11" s="2"/>
      <c r="E11" s="3">
        <f>E10-F57</f>
        <v>0</v>
      </c>
      <c r="F11" s="3">
        <f t="shared" ref="F11:I11" si="5">F10-G57</f>
        <v>0</v>
      </c>
      <c r="G11" s="3">
        <f t="shared" si="5"/>
        <v>0</v>
      </c>
      <c r="H11" s="3">
        <f t="shared" si="5"/>
        <v>0</v>
      </c>
      <c r="I11" s="3">
        <f t="shared" si="5"/>
        <v>0</v>
      </c>
      <c r="J11" s="9"/>
      <c r="K11" s="4"/>
      <c r="L11" s="4"/>
      <c r="M11" s="4"/>
      <c r="N11" s="4"/>
      <c r="O11" s="79"/>
    </row>
    <row r="12" spans="1:15" x14ac:dyDescent="0.35">
      <c r="C12" s="2"/>
      <c r="D12" s="2"/>
      <c r="I12" s="9"/>
      <c r="J12" s="9"/>
      <c r="K12" s="4"/>
      <c r="L12" s="4"/>
      <c r="M12" s="4"/>
      <c r="N12" s="4"/>
      <c r="O12" s="79"/>
    </row>
    <row r="13" spans="1:15" x14ac:dyDescent="0.35">
      <c r="C13" s="1" t="s">
        <v>31</v>
      </c>
      <c r="D13" s="1"/>
    </row>
    <row r="14" spans="1:15" x14ac:dyDescent="0.35">
      <c r="A14" s="5"/>
      <c r="C14" s="5" t="s">
        <v>32</v>
      </c>
      <c r="D14" s="5" t="s">
        <v>33</v>
      </c>
      <c r="E14" s="5" t="s">
        <v>34</v>
      </c>
      <c r="F14" s="6" t="s">
        <v>35</v>
      </c>
      <c r="G14" s="6" t="s">
        <v>3</v>
      </c>
      <c r="H14" s="6" t="s">
        <v>4</v>
      </c>
      <c r="I14" s="6" t="s">
        <v>5</v>
      </c>
      <c r="J14" s="6" t="s">
        <v>6</v>
      </c>
      <c r="O14" s="78"/>
    </row>
    <row r="15" spans="1:15" x14ac:dyDescent="0.35">
      <c r="C15" s="42" t="s">
        <v>93</v>
      </c>
      <c r="D15" s="42" t="str">
        <f>_xlfn.XLOOKUP(C15,'Vendor List'!$B$2:$B$51,'Vendor List'!$C$2:$C$51,"NA")</f>
        <v>P</v>
      </c>
      <c r="E15" s="38" t="s">
        <v>94</v>
      </c>
      <c r="F15" s="35">
        <v>164300</v>
      </c>
      <c r="G15" s="35">
        <v>58500</v>
      </c>
      <c r="H15" s="35">
        <v>6550</v>
      </c>
      <c r="I15" s="35">
        <f t="shared" ref="I15:I25" si="6">SUM(G15:H15)</f>
        <v>65050</v>
      </c>
      <c r="J15" s="35">
        <f t="shared" ref="J15:J25" si="7">F15-I15</f>
        <v>99250</v>
      </c>
      <c r="O15" s="85"/>
    </row>
    <row r="16" spans="1:15" x14ac:dyDescent="0.35">
      <c r="C16" s="42" t="s">
        <v>95</v>
      </c>
      <c r="D16" s="42" t="str">
        <f>_xlfn.XLOOKUP(C16,'Vendor List'!$B$2:$B$51,'Vendor List'!$C$2:$C$51,"NA")</f>
        <v>P</v>
      </c>
      <c r="E16" s="38" t="s">
        <v>96</v>
      </c>
      <c r="F16" s="35">
        <v>12049.83</v>
      </c>
      <c r="G16" s="35">
        <v>0</v>
      </c>
      <c r="H16" s="35">
        <v>0</v>
      </c>
      <c r="I16" s="35">
        <f t="shared" si="6"/>
        <v>0</v>
      </c>
      <c r="J16" s="35">
        <f t="shared" si="7"/>
        <v>12049.83</v>
      </c>
      <c r="O16" s="85"/>
    </row>
    <row r="17" spans="1:16" x14ac:dyDescent="0.35">
      <c r="C17" s="42" t="s">
        <v>95</v>
      </c>
      <c r="D17" s="42" t="str">
        <f>_xlfn.XLOOKUP(C17,'Vendor List'!$B$2:$B$51,'Vendor List'!$C$2:$C$51,"NA")</f>
        <v>P</v>
      </c>
      <c r="E17" s="42" t="s">
        <v>97</v>
      </c>
      <c r="F17" s="35">
        <v>20925</v>
      </c>
      <c r="G17" s="35">
        <v>0</v>
      </c>
      <c r="H17" s="35">
        <v>0</v>
      </c>
      <c r="I17" s="35">
        <f t="shared" si="6"/>
        <v>0</v>
      </c>
      <c r="J17" s="35">
        <f t="shared" si="7"/>
        <v>20925</v>
      </c>
      <c r="O17" s="85"/>
    </row>
    <row r="18" spans="1:16" x14ac:dyDescent="0.35">
      <c r="C18" s="42" t="s">
        <v>98</v>
      </c>
      <c r="D18" s="42" t="str">
        <f>_xlfn.XLOOKUP(C18,'Vendor List'!$B$2:$B$51,'Vendor List'!$C$2:$C$51,"NA")</f>
        <v>P</v>
      </c>
      <c r="E18" s="42" t="s">
        <v>99</v>
      </c>
      <c r="F18" s="35">
        <v>90000</v>
      </c>
      <c r="G18" s="35">
        <v>0</v>
      </c>
      <c r="H18" s="35">
        <v>0</v>
      </c>
      <c r="I18" s="35">
        <f t="shared" si="6"/>
        <v>0</v>
      </c>
      <c r="J18" s="35">
        <f t="shared" si="7"/>
        <v>90000</v>
      </c>
      <c r="O18" s="85"/>
    </row>
    <row r="19" spans="1:16" x14ac:dyDescent="0.35">
      <c r="C19" s="42" t="s">
        <v>100</v>
      </c>
      <c r="D19" s="42" t="str">
        <f>_xlfn.XLOOKUP(C19,'Vendor List'!$B$2:$B$51,'Vendor List'!$C$2:$C$51,"NA")</f>
        <v>C</v>
      </c>
      <c r="E19" s="42" t="s">
        <v>96</v>
      </c>
      <c r="F19" s="35">
        <v>1083423.93</v>
      </c>
      <c r="G19" s="35">
        <v>335233.10000000003</v>
      </c>
      <c r="H19" s="35">
        <v>0</v>
      </c>
      <c r="I19" s="35">
        <f t="shared" si="6"/>
        <v>335233.10000000003</v>
      </c>
      <c r="J19" s="35">
        <f t="shared" si="7"/>
        <v>748190.82999999984</v>
      </c>
      <c r="O19" s="85"/>
    </row>
    <row r="20" spans="1:16" x14ac:dyDescent="0.35">
      <c r="C20" s="42" t="s">
        <v>88</v>
      </c>
      <c r="D20" s="42" t="str">
        <f>_xlfn.XLOOKUP(C20,'Vendor List'!$B$2:$B$51,'Vendor List'!$C$2:$C$51,"NA")</f>
        <v>P</v>
      </c>
      <c r="E20" s="42" t="s">
        <v>101</v>
      </c>
      <c r="F20" s="35">
        <v>0</v>
      </c>
      <c r="G20" s="35">
        <v>0</v>
      </c>
      <c r="H20" s="35">
        <v>0</v>
      </c>
      <c r="I20" s="35">
        <f t="shared" si="6"/>
        <v>0</v>
      </c>
      <c r="J20" s="35">
        <f t="shared" si="7"/>
        <v>0</v>
      </c>
      <c r="O20" s="85"/>
    </row>
    <row r="21" spans="1:16" x14ac:dyDescent="0.35">
      <c r="C21" s="42" t="s">
        <v>72</v>
      </c>
      <c r="D21" s="42" t="str">
        <f>_xlfn.XLOOKUP(C21,'Vendor List'!$B$2:$B$51,'Vendor List'!$C$2:$C$51,"NA")</f>
        <v>P</v>
      </c>
      <c r="E21" s="42" t="s">
        <v>96</v>
      </c>
      <c r="F21" s="35">
        <v>77540</v>
      </c>
      <c r="G21" s="35">
        <v>0</v>
      </c>
      <c r="H21" s="35">
        <v>0</v>
      </c>
      <c r="I21" s="35">
        <f t="shared" si="6"/>
        <v>0</v>
      </c>
      <c r="J21" s="35">
        <f t="shared" si="7"/>
        <v>77540</v>
      </c>
      <c r="O21" s="85"/>
    </row>
    <row r="22" spans="1:16" x14ac:dyDescent="0.35">
      <c r="C22" s="42" t="s">
        <v>102</v>
      </c>
      <c r="D22" s="42" t="str">
        <f>_xlfn.XLOOKUP(C22,'Vendor List'!$B$2:$B$51,'Vendor List'!$C$2:$C$51,"NA")</f>
        <v>C</v>
      </c>
      <c r="E22" s="42" t="s">
        <v>103</v>
      </c>
      <c r="F22" s="35">
        <v>903000</v>
      </c>
      <c r="G22" s="35">
        <v>0</v>
      </c>
      <c r="H22" s="35">
        <v>0</v>
      </c>
      <c r="I22" s="35">
        <f t="shared" si="6"/>
        <v>0</v>
      </c>
      <c r="J22" s="35">
        <f t="shared" si="7"/>
        <v>903000</v>
      </c>
      <c r="O22" s="85"/>
    </row>
    <row r="23" spans="1:16" x14ac:dyDescent="0.35">
      <c r="C23" s="42" t="s">
        <v>104</v>
      </c>
      <c r="D23" s="42" t="str">
        <f>_xlfn.XLOOKUP(C23,'Vendor List'!$B$2:$B$51,'Vendor List'!$C$2:$C$51,"NA")</f>
        <v>P</v>
      </c>
      <c r="E23" s="42" t="s">
        <v>96</v>
      </c>
      <c r="F23" s="35">
        <v>7590</v>
      </c>
      <c r="G23" s="35">
        <v>0</v>
      </c>
      <c r="H23" s="35">
        <v>0</v>
      </c>
      <c r="I23" s="35">
        <f t="shared" si="6"/>
        <v>0</v>
      </c>
      <c r="J23" s="35">
        <f t="shared" si="7"/>
        <v>7590</v>
      </c>
      <c r="O23" s="85"/>
    </row>
    <row r="24" spans="1:16" x14ac:dyDescent="0.35">
      <c r="C24" s="42" t="s">
        <v>76</v>
      </c>
      <c r="D24" s="42" t="str">
        <f>_xlfn.XLOOKUP(C24,'Vendor List'!$B$2:$B$51,'Vendor List'!$C$2:$C$51,"NA")</f>
        <v>C</v>
      </c>
      <c r="E24" s="42" t="s">
        <v>94</v>
      </c>
      <c r="F24" s="35">
        <v>127167.66</v>
      </c>
      <c r="G24" s="35">
        <v>0</v>
      </c>
      <c r="H24" s="35">
        <v>0</v>
      </c>
      <c r="I24" s="35">
        <f t="shared" si="6"/>
        <v>0</v>
      </c>
      <c r="J24" s="35">
        <f t="shared" si="7"/>
        <v>127167.66</v>
      </c>
      <c r="O24" s="85"/>
    </row>
    <row r="25" spans="1:16" x14ac:dyDescent="0.35">
      <c r="C25" s="42" t="s">
        <v>84</v>
      </c>
      <c r="D25" s="42" t="str">
        <f>_xlfn.XLOOKUP(C25,'Vendor List'!$B$2:$B$51,'Vendor List'!$C$2:$C$51,"NA")</f>
        <v>P</v>
      </c>
      <c r="E25" s="42" t="s">
        <v>105</v>
      </c>
      <c r="F25" s="35">
        <v>19875</v>
      </c>
      <c r="G25" s="35">
        <v>0</v>
      </c>
      <c r="H25" s="35">
        <v>0</v>
      </c>
      <c r="I25" s="35">
        <f t="shared" si="6"/>
        <v>0</v>
      </c>
      <c r="J25" s="35">
        <f t="shared" si="7"/>
        <v>19875</v>
      </c>
      <c r="O25" s="85"/>
    </row>
    <row r="26" spans="1:16" x14ac:dyDescent="0.35">
      <c r="C26" s="20" t="s">
        <v>54</v>
      </c>
      <c r="D26" s="20"/>
      <c r="E26" s="7"/>
      <c r="F26" s="21">
        <f>SUM(F15:F25)</f>
        <v>2505871.42</v>
      </c>
      <c r="G26" s="21">
        <f>SUM(G15:G25)</f>
        <v>393733.10000000003</v>
      </c>
      <c r="H26" s="21">
        <f>SUM(H15:H25)</f>
        <v>6550</v>
      </c>
      <c r="I26" s="21">
        <f>SUM(I15:I25)</f>
        <v>400283.10000000003</v>
      </c>
      <c r="J26" s="21">
        <f>SUM(J15:J25)</f>
        <v>2105588.3199999998</v>
      </c>
      <c r="O26" s="85"/>
    </row>
    <row r="27" spans="1:16" x14ac:dyDescent="0.35">
      <c r="C27" s="48" t="s">
        <v>55</v>
      </c>
      <c r="D27" s="48"/>
      <c r="E27" s="1"/>
      <c r="F27" s="10">
        <f>F15+F16+F17+F18+F20+F21+F23+F25</f>
        <v>392279.82999999996</v>
      </c>
      <c r="G27" s="10">
        <f>G15+G16+G17+G18+G20+G21+G23+G25</f>
        <v>58500</v>
      </c>
      <c r="H27" s="10">
        <f>H15+H16+H17+H18+H20+H21+H23+H25</f>
        <v>6550</v>
      </c>
      <c r="I27" s="10">
        <f>I15+I16+I17+I18+I20+I21+I23+I25</f>
        <v>65050</v>
      </c>
      <c r="J27" s="10">
        <f>J15+J16+J17+J18+J20+J21+J23+J25</f>
        <v>327229.83</v>
      </c>
      <c r="O27" s="85"/>
    </row>
    <row r="28" spans="1:16" x14ac:dyDescent="0.35">
      <c r="C28" s="48" t="s">
        <v>12</v>
      </c>
      <c r="F28" s="3">
        <f>F19+F22+F24</f>
        <v>2113591.59</v>
      </c>
      <c r="G28" s="3">
        <f>G19+G22+G24</f>
        <v>335233.10000000003</v>
      </c>
      <c r="H28" s="3">
        <f>H19+H22+H24</f>
        <v>0</v>
      </c>
      <c r="I28" s="3">
        <f>I19+I22+I24</f>
        <v>335233.10000000003</v>
      </c>
      <c r="J28" s="3">
        <f>J19+J22+J24</f>
        <v>1778358.4899999998</v>
      </c>
      <c r="O28" s="85"/>
    </row>
    <row r="29" spans="1:16" x14ac:dyDescent="0.35">
      <c r="O29" s="85"/>
    </row>
    <row r="30" spans="1:16" x14ac:dyDescent="0.35">
      <c r="C30" s="10" t="s">
        <v>57</v>
      </c>
      <c r="D30" s="10"/>
      <c r="O30" s="85"/>
    </row>
    <row r="31" spans="1:16" s="3" customFormat="1" x14ac:dyDescent="0.35">
      <c r="A31"/>
      <c r="B31"/>
      <c r="C31" s="4" t="s">
        <v>106</v>
      </c>
      <c r="D31" s="4"/>
      <c r="E31"/>
      <c r="O31" s="85"/>
      <c r="P31"/>
    </row>
    <row r="32" spans="1:16" s="3" customFormat="1" x14ac:dyDescent="0.35">
      <c r="A32"/>
      <c r="B32"/>
      <c r="C32" s="31" t="s">
        <v>32</v>
      </c>
      <c r="D32" s="31" t="s">
        <v>33</v>
      </c>
      <c r="E32" s="31" t="s">
        <v>34</v>
      </c>
      <c r="F32" s="32" t="s">
        <v>59</v>
      </c>
      <c r="G32" s="6" t="s">
        <v>3</v>
      </c>
      <c r="H32" s="6" t="s">
        <v>4</v>
      </c>
      <c r="I32" s="6" t="s">
        <v>5</v>
      </c>
      <c r="J32" s="6" t="s">
        <v>6</v>
      </c>
      <c r="O32" s="91"/>
      <c r="P32"/>
    </row>
    <row r="33" spans="1:19" s="3" customFormat="1" x14ac:dyDescent="0.35">
      <c r="A33"/>
      <c r="B33"/>
      <c r="C33" s="38" t="s">
        <v>76</v>
      </c>
      <c r="D33" s="38" t="str">
        <f>_xlfn.XLOOKUP(C33,'Vendor List'!$B$2:$B$51,'Vendor List'!$C$2:$C$51,"NA")</f>
        <v>C</v>
      </c>
      <c r="E33" s="34" t="s">
        <v>107</v>
      </c>
      <c r="F33" s="35">
        <v>-12637.3</v>
      </c>
      <c r="G33" s="35">
        <v>0</v>
      </c>
      <c r="H33" s="35">
        <v>0</v>
      </c>
      <c r="I33" s="35">
        <f>SUM(G33:H33)</f>
        <v>0</v>
      </c>
      <c r="J33" s="35">
        <f t="shared" ref="J33" si="8">F33-I33</f>
        <v>-12637.3</v>
      </c>
      <c r="O33" s="85"/>
      <c r="P33"/>
      <c r="S33"/>
    </row>
    <row r="34" spans="1:19" s="3" customFormat="1" x14ac:dyDescent="0.35">
      <c r="A34"/>
      <c r="B34"/>
      <c r="C34" s="38" t="s">
        <v>93</v>
      </c>
      <c r="D34" s="38" t="str">
        <f>_xlfn.XLOOKUP(C34,'Vendor List'!$B$2:$B$51,'Vendor List'!$C$2:$C$51,"NA")</f>
        <v>P</v>
      </c>
      <c r="E34" s="34" t="s">
        <v>105</v>
      </c>
      <c r="F34" s="35">
        <v>81785.87</v>
      </c>
      <c r="G34" s="35">
        <v>41710</v>
      </c>
      <c r="H34" s="35">
        <v>8860</v>
      </c>
      <c r="I34" s="35">
        <f t="shared" ref="I34:I55" si="9">SUM(G34:H34)</f>
        <v>50570</v>
      </c>
      <c r="J34" s="35">
        <f t="shared" ref="J34:J55" si="10">F34-I34</f>
        <v>31215.869999999995</v>
      </c>
      <c r="O34" s="85"/>
      <c r="P34"/>
      <c r="S34"/>
    </row>
    <row r="35" spans="1:19" s="3" customFormat="1" x14ac:dyDescent="0.35">
      <c r="A35"/>
      <c r="B35"/>
      <c r="C35" s="38" t="s">
        <v>39</v>
      </c>
      <c r="D35" s="38" t="str">
        <f>_xlfn.XLOOKUP(C35,'Vendor List'!$B$2:$B$51,'Vendor List'!$C$2:$C$51,"NA")</f>
        <v>C</v>
      </c>
      <c r="E35" s="34" t="s">
        <v>108</v>
      </c>
      <c r="F35" s="35">
        <v>254521.19</v>
      </c>
      <c r="G35" s="35">
        <v>0</v>
      </c>
      <c r="H35" s="35">
        <v>0</v>
      </c>
      <c r="I35" s="35">
        <f t="shared" si="9"/>
        <v>0</v>
      </c>
      <c r="J35" s="35">
        <f t="shared" si="10"/>
        <v>254521.19</v>
      </c>
      <c r="O35" s="85"/>
      <c r="P35"/>
      <c r="S35"/>
    </row>
    <row r="36" spans="1:19" s="3" customFormat="1" x14ac:dyDescent="0.35">
      <c r="A36"/>
      <c r="B36"/>
      <c r="C36" s="38" t="s">
        <v>76</v>
      </c>
      <c r="D36" s="38" t="str">
        <f>_xlfn.XLOOKUP(C36,'Vendor List'!$B$2:$B$51,'Vendor List'!$C$2:$C$51,"NA")</f>
        <v>C</v>
      </c>
      <c r="E36" s="34" t="s">
        <v>108</v>
      </c>
      <c r="F36" s="35">
        <v>126174</v>
      </c>
      <c r="G36" s="35">
        <v>0</v>
      </c>
      <c r="H36" s="35">
        <v>0</v>
      </c>
      <c r="I36" s="35">
        <f t="shared" si="9"/>
        <v>0</v>
      </c>
      <c r="J36" s="35">
        <f t="shared" si="10"/>
        <v>126174</v>
      </c>
      <c r="O36" s="85"/>
      <c r="P36"/>
      <c r="S36"/>
    </row>
    <row r="37" spans="1:19" s="3" customFormat="1" x14ac:dyDescent="0.35">
      <c r="A37"/>
      <c r="B37"/>
      <c r="C37" s="38" t="s">
        <v>76</v>
      </c>
      <c r="D37" s="38" t="str">
        <f>_xlfn.XLOOKUP(C37,'Vendor List'!$B$2:$B$51,'Vendor List'!$C$2:$C$51,"NA")</f>
        <v>C</v>
      </c>
      <c r="E37" s="34" t="s">
        <v>108</v>
      </c>
      <c r="F37" s="35">
        <v>13858</v>
      </c>
      <c r="G37" s="35">
        <v>0</v>
      </c>
      <c r="H37" s="35">
        <v>0</v>
      </c>
      <c r="I37" s="35">
        <f t="shared" si="9"/>
        <v>0</v>
      </c>
      <c r="J37" s="35">
        <f t="shared" si="10"/>
        <v>13858</v>
      </c>
      <c r="O37" s="85"/>
      <c r="P37"/>
      <c r="S37"/>
    </row>
    <row r="38" spans="1:19" s="3" customFormat="1" x14ac:dyDescent="0.35">
      <c r="A38"/>
      <c r="B38"/>
      <c r="C38" s="38" t="s">
        <v>109</v>
      </c>
      <c r="D38" s="38" t="str">
        <f>_xlfn.XLOOKUP(C38,'Vendor List'!$B$2:$B$51,'Vendor List'!$C$2:$C$51,"NA")</f>
        <v>C</v>
      </c>
      <c r="E38" s="34" t="s">
        <v>108</v>
      </c>
      <c r="F38" s="35">
        <v>610.64</v>
      </c>
      <c r="G38" s="35">
        <v>0</v>
      </c>
      <c r="H38" s="35">
        <v>0</v>
      </c>
      <c r="I38" s="35">
        <f t="shared" si="9"/>
        <v>0</v>
      </c>
      <c r="J38" s="35">
        <f t="shared" si="10"/>
        <v>610.64</v>
      </c>
      <c r="O38" s="85"/>
      <c r="P38"/>
      <c r="S38"/>
    </row>
    <row r="39" spans="1:19" s="3" customFormat="1" x14ac:dyDescent="0.35">
      <c r="A39"/>
      <c r="B39"/>
      <c r="C39" s="38" t="s">
        <v>110</v>
      </c>
      <c r="D39" s="38" t="str">
        <f>_xlfn.XLOOKUP(C39,'Vendor List'!$B$2:$B$51,'Vendor List'!$C$2:$C$51,"NA")</f>
        <v>P</v>
      </c>
      <c r="E39" s="34" t="s">
        <v>111</v>
      </c>
      <c r="F39" s="35">
        <v>14700</v>
      </c>
      <c r="G39" s="35">
        <v>0</v>
      </c>
      <c r="H39" s="35">
        <v>0</v>
      </c>
      <c r="I39" s="35">
        <f t="shared" si="9"/>
        <v>0</v>
      </c>
      <c r="J39" s="35">
        <f t="shared" si="10"/>
        <v>14700</v>
      </c>
      <c r="O39" s="85"/>
      <c r="P39"/>
      <c r="S39"/>
    </row>
    <row r="40" spans="1:19" s="3" customFormat="1" x14ac:dyDescent="0.35">
      <c r="A40"/>
      <c r="B40"/>
      <c r="C40" s="38" t="s">
        <v>39</v>
      </c>
      <c r="D40" s="38" t="str">
        <f>_xlfn.XLOOKUP(C40,'Vendor List'!$B$2:$B$51,'Vendor List'!$C$2:$C$51,"NA")</f>
        <v>C</v>
      </c>
      <c r="E40" s="34" t="s">
        <v>103</v>
      </c>
      <c r="F40" s="35">
        <v>3654548.93</v>
      </c>
      <c r="G40" s="35">
        <f>46970+14340+15156.44+4692+235059+150390</f>
        <v>466607.44</v>
      </c>
      <c r="H40" s="35">
        <v>0</v>
      </c>
      <c r="I40" s="35">
        <f t="shared" si="9"/>
        <v>466607.44</v>
      </c>
      <c r="J40" s="35">
        <f t="shared" si="10"/>
        <v>3187941.49</v>
      </c>
      <c r="O40" s="85"/>
      <c r="P40"/>
      <c r="S40"/>
    </row>
    <row r="41" spans="1:19" s="3" customFormat="1" x14ac:dyDescent="0.35">
      <c r="A41"/>
      <c r="B41"/>
      <c r="C41" s="38" t="s">
        <v>112</v>
      </c>
      <c r="D41" s="38" t="str">
        <f>_xlfn.XLOOKUP(C41,'Vendor List'!$B$2:$B$51,'Vendor List'!$C$2:$C$51,"NA")</f>
        <v>C</v>
      </c>
      <c r="E41" s="34" t="s">
        <v>103</v>
      </c>
      <c r="F41" s="35">
        <v>5360895.25</v>
      </c>
      <c r="G41" s="35">
        <v>0</v>
      </c>
      <c r="H41" s="35">
        <v>0</v>
      </c>
      <c r="I41" s="35">
        <f t="shared" si="9"/>
        <v>0</v>
      </c>
      <c r="J41" s="35">
        <f t="shared" si="10"/>
        <v>5360895.25</v>
      </c>
      <c r="O41" s="85"/>
      <c r="P41"/>
      <c r="S41"/>
    </row>
    <row r="42" spans="1:19" s="3" customFormat="1" x14ac:dyDescent="0.35">
      <c r="A42"/>
      <c r="B42"/>
      <c r="C42" s="38" t="s">
        <v>67</v>
      </c>
      <c r="D42" s="38" t="str">
        <f>_xlfn.XLOOKUP(C42,'Vendor List'!$B$2:$B$51,'Vendor List'!$C$2:$C$51,"NA")</f>
        <v>P</v>
      </c>
      <c r="E42" s="34" t="s">
        <v>108</v>
      </c>
      <c r="F42" s="35">
        <v>23750.5</v>
      </c>
      <c r="G42" s="35">
        <v>0</v>
      </c>
      <c r="H42" s="35">
        <v>0</v>
      </c>
      <c r="I42" s="35">
        <f t="shared" si="9"/>
        <v>0</v>
      </c>
      <c r="J42" s="35">
        <f t="shared" si="10"/>
        <v>23750.5</v>
      </c>
      <c r="O42" s="85"/>
      <c r="P42"/>
      <c r="S42"/>
    </row>
    <row r="43" spans="1:19" s="3" customFormat="1" x14ac:dyDescent="0.35">
      <c r="A43"/>
      <c r="B43"/>
      <c r="C43" s="38" t="s">
        <v>110</v>
      </c>
      <c r="D43" s="38" t="str">
        <f>_xlfn.XLOOKUP(C43,'Vendor List'!$B$2:$B$51,'Vendor List'!$C$2:$C$51,"NA")</f>
        <v>P</v>
      </c>
      <c r="E43" s="34" t="s">
        <v>105</v>
      </c>
      <c r="F43" s="35">
        <v>10000</v>
      </c>
      <c r="G43" s="35">
        <v>0</v>
      </c>
      <c r="H43" s="35">
        <v>0</v>
      </c>
      <c r="I43" s="35">
        <f t="shared" si="9"/>
        <v>0</v>
      </c>
      <c r="J43" s="35">
        <f t="shared" si="10"/>
        <v>10000</v>
      </c>
      <c r="O43" s="85"/>
      <c r="P43"/>
      <c r="S43"/>
    </row>
    <row r="44" spans="1:19" s="3" customFormat="1" x14ac:dyDescent="0.35">
      <c r="A44"/>
      <c r="B44"/>
      <c r="C44" s="38" t="s">
        <v>93</v>
      </c>
      <c r="D44" s="38" t="str">
        <f>_xlfn.XLOOKUP(C44,'Vendor List'!$B$2:$B$51,'Vendor List'!$C$2:$C$51,"NA")</f>
        <v>P</v>
      </c>
      <c r="E44" s="34" t="s">
        <v>94</v>
      </c>
      <c r="F44" s="35">
        <v>460800</v>
      </c>
      <c r="G44" s="35">
        <v>237900</v>
      </c>
      <c r="H44" s="35">
        <v>19950</v>
      </c>
      <c r="I44" s="35">
        <f t="shared" si="9"/>
        <v>257850</v>
      </c>
      <c r="J44" s="35">
        <f t="shared" si="10"/>
        <v>202950</v>
      </c>
      <c r="O44" s="85"/>
      <c r="P44"/>
      <c r="S44"/>
    </row>
    <row r="45" spans="1:19" s="3" customFormat="1" x14ac:dyDescent="0.35">
      <c r="A45"/>
      <c r="B45"/>
      <c r="C45" s="34" t="s">
        <v>113</v>
      </c>
      <c r="D45" s="34" t="str">
        <f>_xlfn.XLOOKUP(C45,'Vendor List'!$B$2:$B$51,'Vendor List'!$C$2:$C$51,"NA")</f>
        <v>C</v>
      </c>
      <c r="E45" s="34" t="s">
        <v>111</v>
      </c>
      <c r="F45" s="35">
        <v>101229.5</v>
      </c>
      <c r="G45" s="35"/>
      <c r="H45" s="35"/>
      <c r="I45" s="35">
        <f t="shared" si="9"/>
        <v>0</v>
      </c>
      <c r="J45" s="35">
        <f t="shared" si="10"/>
        <v>101229.5</v>
      </c>
      <c r="O45" s="85"/>
      <c r="P45"/>
      <c r="S45"/>
    </row>
    <row r="46" spans="1:19" s="3" customFormat="1" x14ac:dyDescent="0.35">
      <c r="A46"/>
      <c r="B46"/>
      <c r="C46" s="38" t="s">
        <v>76</v>
      </c>
      <c r="D46" s="38" t="str">
        <f>_xlfn.XLOOKUP(C46,'Vendor List'!$B$2:$B$51,'Vendor List'!$C$2:$C$51,"NA")</f>
        <v>C</v>
      </c>
      <c r="E46" s="34" t="s">
        <v>108</v>
      </c>
      <c r="F46" s="35">
        <v>2111001.75</v>
      </c>
      <c r="G46" s="35">
        <v>0</v>
      </c>
      <c r="H46" s="35">
        <v>1832372.25</v>
      </c>
      <c r="I46" s="35">
        <f t="shared" si="9"/>
        <v>1832372.25</v>
      </c>
      <c r="J46" s="35">
        <f t="shared" si="10"/>
        <v>278629.5</v>
      </c>
      <c r="O46" s="85"/>
      <c r="P46" s="86"/>
      <c r="Q46" s="76"/>
      <c r="S46"/>
    </row>
    <row r="47" spans="1:19" s="3" customFormat="1" x14ac:dyDescent="0.35">
      <c r="A47"/>
      <c r="B47"/>
      <c r="C47" s="38" t="s">
        <v>76</v>
      </c>
      <c r="D47" s="38" t="str">
        <f>_xlfn.XLOOKUP(C47,'Vendor List'!$B$2:$B$51,'Vendor List'!$C$2:$C$51,"NA")</f>
        <v>C</v>
      </c>
      <c r="E47" s="34" t="s">
        <v>108</v>
      </c>
      <c r="F47" s="35">
        <v>-434799.47</v>
      </c>
      <c r="G47" s="35">
        <v>0</v>
      </c>
      <c r="H47" s="35"/>
      <c r="I47" s="35"/>
      <c r="J47" s="35">
        <f t="shared" ref="J47" si="11">F47-I47</f>
        <v>-434799.47</v>
      </c>
      <c r="O47" s="85"/>
      <c r="P47" s="86"/>
      <c r="Q47" s="76"/>
      <c r="S47"/>
    </row>
    <row r="48" spans="1:19" s="3" customFormat="1" x14ac:dyDescent="0.35">
      <c r="A48"/>
      <c r="B48"/>
      <c r="C48" s="38" t="s">
        <v>76</v>
      </c>
      <c r="D48" s="38" t="str">
        <f>_xlfn.XLOOKUP(C48,'Vendor List'!$B$2:$B$51,'Vendor List'!$C$2:$C$51,"NA")</f>
        <v>C</v>
      </c>
      <c r="E48" s="34" t="s">
        <v>108</v>
      </c>
      <c r="F48" s="35">
        <v>187181.79</v>
      </c>
      <c r="G48" s="35">
        <v>0</v>
      </c>
      <c r="H48" s="35">
        <v>0</v>
      </c>
      <c r="I48" s="35">
        <f t="shared" si="9"/>
        <v>0</v>
      </c>
      <c r="J48" s="35">
        <f t="shared" si="10"/>
        <v>187181.79</v>
      </c>
      <c r="O48" s="85"/>
      <c r="P48"/>
      <c r="S48"/>
    </row>
    <row r="49" spans="1:19" s="3" customFormat="1" x14ac:dyDescent="0.35">
      <c r="A49"/>
      <c r="B49"/>
      <c r="C49" s="38" t="s">
        <v>64</v>
      </c>
      <c r="D49" s="38" t="str">
        <f>_xlfn.XLOOKUP(C49,'Vendor List'!$B$2:$B$51,'Vendor List'!$C$2:$C$51,"NA")</f>
        <v>P</v>
      </c>
      <c r="E49" s="34" t="s">
        <v>105</v>
      </c>
      <c r="F49" s="35">
        <v>40270</v>
      </c>
      <c r="G49" s="35">
        <v>40270</v>
      </c>
      <c r="H49" s="35">
        <v>0</v>
      </c>
      <c r="I49" s="35">
        <f t="shared" si="9"/>
        <v>40270</v>
      </c>
      <c r="J49" s="35">
        <f t="shared" si="10"/>
        <v>0</v>
      </c>
      <c r="O49" s="85"/>
      <c r="P49"/>
      <c r="S49"/>
    </row>
    <row r="50" spans="1:19" s="3" customFormat="1" x14ac:dyDescent="0.35">
      <c r="A50"/>
      <c r="B50"/>
      <c r="C50" s="38" t="s">
        <v>114</v>
      </c>
      <c r="D50" s="38" t="str">
        <f>_xlfn.XLOOKUP(C50,'Vendor List'!$B$2:$B$51,'Vendor List'!$C$2:$C$51,"NA")</f>
        <v>P</v>
      </c>
      <c r="E50" s="34" t="s">
        <v>115</v>
      </c>
      <c r="F50" s="35">
        <v>85689</v>
      </c>
      <c r="G50" s="35">
        <v>25375</v>
      </c>
      <c r="H50" s="35">
        <v>0</v>
      </c>
      <c r="I50" s="35">
        <f t="shared" si="9"/>
        <v>25375</v>
      </c>
      <c r="J50" s="35">
        <f t="shared" si="10"/>
        <v>60314</v>
      </c>
      <c r="O50" s="85"/>
      <c r="P50"/>
      <c r="S50"/>
    </row>
    <row r="51" spans="1:19" s="3" customFormat="1" x14ac:dyDescent="0.35">
      <c r="A51"/>
      <c r="B51"/>
      <c r="C51" s="38" t="s">
        <v>43</v>
      </c>
      <c r="D51" s="38" t="str">
        <f>_xlfn.XLOOKUP(C51,'Vendor List'!$B$2:$B$51,'Vendor List'!$C$2:$C$51,"NA")</f>
        <v>P</v>
      </c>
      <c r="E51" s="34" t="s">
        <v>103</v>
      </c>
      <c r="F51" s="35">
        <v>29000</v>
      </c>
      <c r="G51" s="35">
        <v>29000</v>
      </c>
      <c r="H51" s="35">
        <v>0</v>
      </c>
      <c r="I51" s="35">
        <f t="shared" si="9"/>
        <v>29000</v>
      </c>
      <c r="J51" s="35">
        <f t="shared" si="10"/>
        <v>0</v>
      </c>
      <c r="O51" s="85"/>
      <c r="P51"/>
      <c r="S51"/>
    </row>
    <row r="52" spans="1:19" s="3" customFormat="1" x14ac:dyDescent="0.35">
      <c r="A52"/>
      <c r="B52"/>
      <c r="C52" s="34" t="s">
        <v>63</v>
      </c>
      <c r="D52" s="34" t="str">
        <f>_xlfn.XLOOKUP(C52,'Vendor List'!$B$2:$B$51,'Vendor List'!$C$2:$C$51,"NA")</f>
        <v>P</v>
      </c>
      <c r="E52" s="34" t="s">
        <v>101</v>
      </c>
      <c r="F52" s="35">
        <v>5090</v>
      </c>
      <c r="G52" s="35">
        <v>0</v>
      </c>
      <c r="H52" s="35">
        <v>0</v>
      </c>
      <c r="I52" s="35">
        <f t="shared" si="9"/>
        <v>0</v>
      </c>
      <c r="J52" s="35">
        <f t="shared" si="10"/>
        <v>5090</v>
      </c>
      <c r="O52" s="85"/>
      <c r="P52"/>
      <c r="S52"/>
    </row>
    <row r="53" spans="1:19" s="3" customFormat="1" x14ac:dyDescent="0.35">
      <c r="A53"/>
      <c r="B53"/>
      <c r="C53" s="38" t="s">
        <v>72</v>
      </c>
      <c r="D53" s="38" t="str">
        <f>_xlfn.XLOOKUP(C53,'Vendor List'!$B$2:$B$51,'Vendor List'!$C$2:$C$51,"NA")</f>
        <v>P</v>
      </c>
      <c r="E53" s="34" t="s">
        <v>105</v>
      </c>
      <c r="F53" s="35">
        <v>433440</v>
      </c>
      <c r="G53" s="35">
        <v>0</v>
      </c>
      <c r="H53" s="35">
        <v>0</v>
      </c>
      <c r="I53" s="35">
        <f t="shared" si="9"/>
        <v>0</v>
      </c>
      <c r="J53" s="35">
        <f t="shared" si="10"/>
        <v>433440</v>
      </c>
      <c r="O53" s="85"/>
      <c r="P53"/>
      <c r="S53"/>
    </row>
    <row r="54" spans="1:19" s="3" customFormat="1" x14ac:dyDescent="0.35">
      <c r="A54"/>
      <c r="B54"/>
      <c r="C54" s="34" t="s">
        <v>64</v>
      </c>
      <c r="D54" s="34" t="str">
        <f>_xlfn.XLOOKUP(C54,'Vendor List'!$B$2:$B$51,'Vendor List'!$C$2:$C$51,"NA")</f>
        <v>P</v>
      </c>
      <c r="E54" s="34" t="s">
        <v>96</v>
      </c>
      <c r="F54" s="35">
        <v>44850</v>
      </c>
      <c r="G54" s="35">
        <v>44850</v>
      </c>
      <c r="H54" s="35">
        <v>0</v>
      </c>
      <c r="I54" s="35">
        <f t="shared" si="9"/>
        <v>44850</v>
      </c>
      <c r="J54" s="35">
        <f t="shared" si="10"/>
        <v>0</v>
      </c>
      <c r="O54" s="85"/>
      <c r="P54"/>
      <c r="S54"/>
    </row>
    <row r="55" spans="1:19" s="3" customFormat="1" x14ac:dyDescent="0.35">
      <c r="A55"/>
      <c r="B55"/>
      <c r="C55" s="38" t="s">
        <v>72</v>
      </c>
      <c r="D55" s="38" t="str">
        <f>_xlfn.XLOOKUP(C55,'Vendor List'!$B$2:$B$51,'Vendor List'!$C$2:$C$51,"NA")</f>
        <v>P</v>
      </c>
      <c r="E55" s="34" t="s">
        <v>108</v>
      </c>
      <c r="F55" s="35">
        <v>33100</v>
      </c>
      <c r="G55" s="35">
        <v>0</v>
      </c>
      <c r="H55" s="35">
        <v>0</v>
      </c>
      <c r="I55" s="35">
        <f t="shared" si="9"/>
        <v>0</v>
      </c>
      <c r="J55" s="35">
        <f t="shared" si="10"/>
        <v>33100</v>
      </c>
      <c r="O55" s="85"/>
      <c r="P55"/>
      <c r="S55"/>
    </row>
    <row r="56" spans="1:19" s="3" customFormat="1" ht="15" thickBot="1" x14ac:dyDescent="0.4">
      <c r="A56"/>
      <c r="B56"/>
      <c r="C56" s="17" t="s">
        <v>89</v>
      </c>
      <c r="D56" s="17"/>
      <c r="E56" s="18"/>
      <c r="F56" s="19">
        <f>SUM(F33:F55)</f>
        <v>12625059.649999999</v>
      </c>
      <c r="G56" s="19">
        <f t="shared" ref="G56:J56" si="12">SUM(G33:G55)</f>
        <v>885712.44</v>
      </c>
      <c r="H56" s="19">
        <f t="shared" si="12"/>
        <v>1861182.25</v>
      </c>
      <c r="I56" s="19">
        <f t="shared" si="12"/>
        <v>2746894.69</v>
      </c>
      <c r="J56" s="19">
        <f t="shared" si="12"/>
        <v>9878164.959999999</v>
      </c>
      <c r="O56" s="85"/>
      <c r="P56"/>
    </row>
    <row r="57" spans="1:19" s="3" customFormat="1" ht="15" thickTop="1" x14ac:dyDescent="0.35">
      <c r="A57"/>
      <c r="B57"/>
      <c r="C57" s="12" t="s">
        <v>90</v>
      </c>
      <c r="D57" s="12"/>
      <c r="E57" s="1"/>
      <c r="F57" s="13">
        <f>F56+F26</f>
        <v>15130931.069999998</v>
      </c>
      <c r="G57" s="3">
        <f>G56+G26</f>
        <v>1279445.54</v>
      </c>
      <c r="H57" s="3">
        <f>H56+H26</f>
        <v>1867732.25</v>
      </c>
      <c r="I57" s="3">
        <f>I56+I26</f>
        <v>3147177.79</v>
      </c>
      <c r="J57" s="3">
        <f>J56+J26</f>
        <v>11983753.279999999</v>
      </c>
      <c r="O57" s="77"/>
      <c r="P57"/>
    </row>
    <row r="58" spans="1:19" x14ac:dyDescent="0.35">
      <c r="G58" s="44">
        <f>G57/$F$57</f>
        <v>8.4558282241913627E-2</v>
      </c>
      <c r="H58" s="44">
        <f>H57/$F$57</f>
        <v>0.12343802515253942</v>
      </c>
      <c r="I58" s="44">
        <f>I57/$F$57</f>
        <v>0.20799630739445304</v>
      </c>
      <c r="J58" s="44">
        <f>J57/$F$57</f>
        <v>0.79200369260554704</v>
      </c>
    </row>
    <row r="61" spans="1:19" x14ac:dyDescent="0.35">
      <c r="E61" s="33"/>
    </row>
    <row r="62" spans="1:19" x14ac:dyDescent="0.35">
      <c r="E62" s="33"/>
      <c r="J62" s="32"/>
      <c r="K62" s="6"/>
      <c r="L62" s="6"/>
      <c r="M62" s="6"/>
      <c r="N62" s="6"/>
    </row>
    <row r="63" spans="1:19" x14ac:dyDescent="0.35">
      <c r="E63" s="33"/>
    </row>
  </sheetData>
  <conditionalFormatting sqref="F8:G8">
    <cfRule type="duplicateValues" dxfId="1" priority="6"/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AE90A-417C-479B-B371-E55BA92D020C}">
  <dimension ref="A2:P41"/>
  <sheetViews>
    <sheetView topLeftCell="B1" zoomScale="90" zoomScaleNormal="90" workbookViewId="0">
      <selection activeCell="L31" sqref="L31"/>
    </sheetView>
  </sheetViews>
  <sheetFormatPr defaultRowHeight="14.5" x14ac:dyDescent="0.35"/>
  <cols>
    <col min="1" max="1" width="11.7265625" bestFit="1" customWidth="1"/>
    <col min="2" max="2" width="4.1796875" bestFit="1" customWidth="1"/>
    <col min="3" max="3" width="40.81640625" customWidth="1"/>
    <col min="4" max="4" width="7.1796875" customWidth="1"/>
    <col min="5" max="5" width="17.81640625" bestFit="1" customWidth="1"/>
    <col min="6" max="6" width="26.81640625" customWidth="1"/>
    <col min="7" max="7" width="17.7265625" bestFit="1" customWidth="1"/>
    <col min="8" max="8" width="21.7265625" customWidth="1"/>
    <col min="9" max="9" width="16.7265625" customWidth="1"/>
    <col min="10" max="10" width="17" style="3" customWidth="1"/>
    <col min="11" max="11" width="16" style="3" customWidth="1"/>
    <col min="12" max="12" width="15.54296875" style="3" customWidth="1"/>
    <col min="13" max="13" width="15.81640625" style="3" customWidth="1"/>
    <col min="14" max="14" width="16.81640625" style="3" customWidth="1"/>
    <col min="15" max="15" width="7.81640625" customWidth="1"/>
    <col min="16" max="16" width="29.81640625" bestFit="1" customWidth="1"/>
  </cols>
  <sheetData>
    <row r="2" spans="3:15" x14ac:dyDescent="0.35">
      <c r="C2" s="22" t="s">
        <v>28</v>
      </c>
      <c r="D2" s="22"/>
    </row>
    <row r="3" spans="3:15" x14ac:dyDescent="0.35">
      <c r="C3" s="2" t="s">
        <v>116</v>
      </c>
      <c r="D3" s="2"/>
      <c r="I3" s="9"/>
      <c r="J3" s="9"/>
      <c r="K3" s="4"/>
      <c r="L3" s="4"/>
      <c r="M3" s="4"/>
      <c r="N3" s="4"/>
      <c r="O3" s="2"/>
    </row>
    <row r="4" spans="3:15" x14ac:dyDescent="0.35">
      <c r="C4" s="2"/>
      <c r="D4" s="2"/>
      <c r="I4" s="9"/>
      <c r="J4" s="9"/>
      <c r="K4" s="4"/>
      <c r="L4" s="4"/>
      <c r="M4" s="4"/>
      <c r="N4" s="4"/>
      <c r="O4" s="2"/>
    </row>
    <row r="5" spans="3:15" x14ac:dyDescent="0.35">
      <c r="C5" s="2"/>
      <c r="D5" s="2"/>
      <c r="I5" s="9"/>
      <c r="J5" s="9"/>
      <c r="K5" s="4"/>
      <c r="L5" s="4"/>
      <c r="M5" s="4"/>
      <c r="N5" s="4"/>
      <c r="O5" s="2"/>
    </row>
    <row r="6" spans="3:15" x14ac:dyDescent="0.35">
      <c r="C6" s="1" t="s">
        <v>117</v>
      </c>
      <c r="D6" s="2"/>
      <c r="I6" s="9"/>
      <c r="J6" s="9"/>
      <c r="K6" s="4"/>
      <c r="L6" s="4"/>
      <c r="M6" s="4"/>
      <c r="N6" s="4"/>
      <c r="O6" s="2"/>
    </row>
    <row r="7" spans="3:15" x14ac:dyDescent="0.35">
      <c r="D7" s="2"/>
      <c r="E7" s="55" t="s">
        <v>2</v>
      </c>
      <c r="F7" s="55" t="s">
        <v>3</v>
      </c>
      <c r="G7" s="55" t="s">
        <v>4</v>
      </c>
      <c r="H7" s="55" t="s">
        <v>5</v>
      </c>
      <c r="I7" s="55" t="s">
        <v>6</v>
      </c>
      <c r="J7" s="70" t="s">
        <v>7</v>
      </c>
      <c r="K7" s="68" t="s">
        <v>8</v>
      </c>
      <c r="L7" s="4" t="s">
        <v>9</v>
      </c>
      <c r="M7" s="4"/>
      <c r="N7" s="4"/>
      <c r="O7" s="2"/>
    </row>
    <row r="8" spans="3:15" x14ac:dyDescent="0.35">
      <c r="C8" s="61" t="s">
        <v>11</v>
      </c>
      <c r="D8" s="2"/>
      <c r="E8" s="56">
        <f>SUMIFS(F$15:F$78,$D$15:$D$78,"P")</f>
        <v>1335493.22</v>
      </c>
      <c r="F8" s="56">
        <f>SUMIFS(G$15:G$78,$D$15:$D$78,"P")</f>
        <v>623570</v>
      </c>
      <c r="G8" s="56">
        <f>SUMIFS(H$15:H$78,$D$15:$D$78,"P")</f>
        <v>58140</v>
      </c>
      <c r="H8" s="57">
        <f>SUM(F8:G8)</f>
        <v>681710</v>
      </c>
      <c r="I8" s="57">
        <f t="shared" ref="I8" si="0">E8-H8</f>
        <v>653783.22</v>
      </c>
      <c r="J8" s="71">
        <f>F8/$E$8</f>
        <v>0.46692112746180769</v>
      </c>
      <c r="K8" s="66">
        <f t="shared" ref="K8:L8" si="1">G8/$E$8</f>
        <v>4.3534477846319579E-2</v>
      </c>
      <c r="L8" s="66">
        <f t="shared" si="1"/>
        <v>0.51045560530812728</v>
      </c>
      <c r="M8" s="4"/>
      <c r="N8" s="4"/>
      <c r="O8" s="2"/>
    </row>
    <row r="9" spans="3:15" x14ac:dyDescent="0.35">
      <c r="C9" s="61" t="s">
        <v>12</v>
      </c>
      <c r="D9" s="2"/>
      <c r="E9" s="56">
        <f>SUMIFS(F$15:F$78,$D$15:$D$78,"C")</f>
        <v>268143</v>
      </c>
      <c r="F9" s="56">
        <f>SUMIFS(G$15:G$78,$D$15:$D$78,"C")</f>
        <v>0</v>
      </c>
      <c r="G9" s="56">
        <f>SUMIFS(H$15:H$78,$D$15:$D$78,"C")</f>
        <v>0</v>
      </c>
      <c r="H9" s="57">
        <f>SUM(F9:G9)</f>
        <v>0</v>
      </c>
      <c r="I9" s="57">
        <f t="shared" ref="I9" si="2">E9-H9</f>
        <v>268143</v>
      </c>
      <c r="J9" s="71">
        <f>F9/$E$9</f>
        <v>0</v>
      </c>
      <c r="K9" s="66">
        <f t="shared" ref="K9:L9" si="3">G9/$E$9</f>
        <v>0</v>
      </c>
      <c r="L9" s="66">
        <f t="shared" si="3"/>
        <v>0</v>
      </c>
      <c r="M9" s="4"/>
      <c r="N9" s="4"/>
      <c r="O9" s="2"/>
    </row>
    <row r="10" spans="3:15" x14ac:dyDescent="0.35">
      <c r="C10" s="62" t="s">
        <v>13</v>
      </c>
      <c r="D10" s="60"/>
      <c r="E10" s="63">
        <f>SUM(E8:E9)</f>
        <v>1603636.22</v>
      </c>
      <c r="F10" s="63">
        <f t="shared" ref="F10:I10" si="4">SUM(F8:F9)</f>
        <v>623570</v>
      </c>
      <c r="G10" s="63">
        <f t="shared" si="4"/>
        <v>58140</v>
      </c>
      <c r="H10" s="63">
        <f t="shared" si="4"/>
        <v>681710</v>
      </c>
      <c r="I10" s="63">
        <f t="shared" si="4"/>
        <v>921926.22</v>
      </c>
      <c r="J10" s="72">
        <f>F10/$E$10</f>
        <v>0.38884754049768222</v>
      </c>
      <c r="K10" s="65">
        <f t="shared" ref="K10:L10" si="5">G10/$E$10</f>
        <v>3.625510528815569E-2</v>
      </c>
      <c r="L10" s="65">
        <f t="shared" si="5"/>
        <v>0.4251026457858379</v>
      </c>
      <c r="M10" s="4"/>
      <c r="N10" s="4"/>
      <c r="O10" s="2"/>
    </row>
    <row r="11" spans="3:15" x14ac:dyDescent="0.35">
      <c r="C11" s="2"/>
      <c r="D11" s="2"/>
      <c r="I11" s="9"/>
      <c r="J11" s="9"/>
      <c r="K11" s="4"/>
      <c r="L11" s="4"/>
      <c r="M11" s="4"/>
      <c r="N11" s="4"/>
      <c r="O11" s="2"/>
    </row>
    <row r="12" spans="3:15" x14ac:dyDescent="0.35">
      <c r="C12" s="2"/>
      <c r="D12" s="2"/>
      <c r="I12" s="9"/>
      <c r="J12" s="9"/>
      <c r="K12" s="4"/>
      <c r="L12" s="4"/>
      <c r="M12" s="4"/>
      <c r="N12" s="4"/>
      <c r="O12" s="2"/>
    </row>
    <row r="13" spans="3:15" x14ac:dyDescent="0.35">
      <c r="C13" s="1" t="s">
        <v>31</v>
      </c>
      <c r="D13" s="1"/>
    </row>
    <row r="14" spans="3:15" x14ac:dyDescent="0.35">
      <c r="C14" s="5" t="s">
        <v>32</v>
      </c>
      <c r="D14" s="5" t="s">
        <v>33</v>
      </c>
      <c r="E14" s="5" t="s">
        <v>34</v>
      </c>
      <c r="F14" s="6" t="s">
        <v>35</v>
      </c>
      <c r="G14" s="6" t="s">
        <v>3</v>
      </c>
      <c r="H14" s="6" t="s">
        <v>4</v>
      </c>
      <c r="I14" s="6" t="s">
        <v>5</v>
      </c>
      <c r="J14" s="6" t="s">
        <v>6</v>
      </c>
      <c r="O14" s="6"/>
    </row>
    <row r="15" spans="3:15" x14ac:dyDescent="0.35">
      <c r="C15" s="43" t="s">
        <v>95</v>
      </c>
      <c r="D15" s="43" t="str">
        <f>_xlfn.XLOOKUP(C15,'Vendor List'!$B$2:$B$51,'Vendor List'!$C$2:$C$51,"NA")</f>
        <v>P</v>
      </c>
      <c r="E15" s="43" t="s">
        <v>118</v>
      </c>
      <c r="F15" s="35">
        <v>12750</v>
      </c>
      <c r="G15" s="35">
        <v>0</v>
      </c>
      <c r="H15" s="35">
        <v>0</v>
      </c>
      <c r="I15" s="35">
        <f>SUM(G15:H15)</f>
        <v>0</v>
      </c>
      <c r="J15" s="35">
        <f t="shared" ref="J15" si="6">F15-I15</f>
        <v>12750</v>
      </c>
      <c r="O15" s="76"/>
    </row>
    <row r="16" spans="3:15" x14ac:dyDescent="0.35">
      <c r="C16" s="43" t="s">
        <v>119</v>
      </c>
      <c r="D16" s="43" t="str">
        <f>_xlfn.XLOOKUP(C16,'Vendor List'!$B$2:$B$51,'Vendor List'!$C$2:$C$51,"NA")</f>
        <v>P</v>
      </c>
      <c r="E16" s="43" t="s">
        <v>120</v>
      </c>
      <c r="F16" s="35">
        <v>244353.5</v>
      </c>
      <c r="G16" s="35">
        <v>121130</v>
      </c>
      <c r="H16" s="35">
        <v>24430</v>
      </c>
      <c r="I16" s="35">
        <f t="shared" ref="I16:I24" si="7">SUM(G16:H16)</f>
        <v>145560</v>
      </c>
      <c r="J16" s="35">
        <f t="shared" ref="J16:J24" si="8">F16-I16</f>
        <v>98793.5</v>
      </c>
      <c r="O16" s="92"/>
    </row>
    <row r="17" spans="3:15" x14ac:dyDescent="0.35">
      <c r="C17" s="43" t="s">
        <v>121</v>
      </c>
      <c r="D17" s="43" t="str">
        <f>_xlfn.XLOOKUP(C17,'Vendor List'!$B$2:$B$51,'Vendor List'!$C$2:$C$51,"NA")</f>
        <v>P</v>
      </c>
      <c r="E17" s="43" t="s">
        <v>120</v>
      </c>
      <c r="F17" s="35">
        <v>10000</v>
      </c>
      <c r="G17" s="35">
        <v>10000</v>
      </c>
      <c r="H17" s="35">
        <v>0</v>
      </c>
      <c r="I17" s="35">
        <f t="shared" si="7"/>
        <v>10000</v>
      </c>
      <c r="J17" s="35">
        <f t="shared" si="8"/>
        <v>0</v>
      </c>
      <c r="O17" s="92"/>
    </row>
    <row r="18" spans="3:15" x14ac:dyDescent="0.35">
      <c r="C18" s="43" t="s">
        <v>121</v>
      </c>
      <c r="D18" s="43" t="str">
        <f>_xlfn.XLOOKUP(C18,'Vendor List'!$B$2:$B$51,'Vendor List'!$C$2:$C$51,"NA")</f>
        <v>P</v>
      </c>
      <c r="E18" s="43" t="s">
        <v>120</v>
      </c>
      <c r="F18" s="35">
        <v>10000</v>
      </c>
      <c r="G18" s="35">
        <v>10000</v>
      </c>
      <c r="H18" s="35">
        <v>0</v>
      </c>
      <c r="I18" s="35">
        <f t="shared" si="7"/>
        <v>10000</v>
      </c>
      <c r="J18" s="35">
        <f t="shared" si="8"/>
        <v>0</v>
      </c>
      <c r="O18" s="92"/>
    </row>
    <row r="19" spans="3:15" x14ac:dyDescent="0.35">
      <c r="C19" s="43" t="s">
        <v>67</v>
      </c>
      <c r="D19" s="43" t="str">
        <f>_xlfn.XLOOKUP(C19,'Vendor List'!$B$2:$B$51,'Vendor List'!$C$2:$C$51,"NA")</f>
        <v>P</v>
      </c>
      <c r="E19" s="43" t="s">
        <v>122</v>
      </c>
      <c r="F19" s="35">
        <v>95000</v>
      </c>
      <c r="G19" s="35">
        <v>0</v>
      </c>
      <c r="H19" s="35">
        <v>0</v>
      </c>
      <c r="I19" s="35">
        <f t="shared" si="7"/>
        <v>0</v>
      </c>
      <c r="J19" s="35">
        <f t="shared" si="8"/>
        <v>95000</v>
      </c>
      <c r="O19" s="92"/>
    </row>
    <row r="20" spans="3:15" x14ac:dyDescent="0.35">
      <c r="C20" s="43" t="s">
        <v>119</v>
      </c>
      <c r="D20" s="43" t="str">
        <f>_xlfn.XLOOKUP(C20,'Vendor List'!$B$2:$B$51,'Vendor List'!$C$2:$C$51,"NA")</f>
        <v>P</v>
      </c>
      <c r="E20" s="43" t="s">
        <v>123</v>
      </c>
      <c r="F20" s="35">
        <v>164475.99000000002</v>
      </c>
      <c r="G20" s="35">
        <v>83890</v>
      </c>
      <c r="H20" s="35">
        <v>17810</v>
      </c>
      <c r="I20" s="35">
        <f t="shared" si="7"/>
        <v>101700</v>
      </c>
      <c r="J20" s="35">
        <f t="shared" si="8"/>
        <v>62775.99000000002</v>
      </c>
      <c r="O20" s="92"/>
    </row>
    <row r="21" spans="3:15" x14ac:dyDescent="0.35">
      <c r="C21" s="43" t="s">
        <v>119</v>
      </c>
      <c r="D21" s="43" t="str">
        <f>_xlfn.XLOOKUP(C21,'Vendor List'!$B$2:$B$51,'Vendor List'!$C$2:$C$51,"NA")</f>
        <v>P</v>
      </c>
      <c r="E21" s="43" t="s">
        <v>124</v>
      </c>
      <c r="F21" s="35">
        <v>394143.73000000004</v>
      </c>
      <c r="G21" s="35">
        <v>167370</v>
      </c>
      <c r="H21" s="35">
        <v>15900</v>
      </c>
      <c r="I21" s="35">
        <f t="shared" si="7"/>
        <v>183270</v>
      </c>
      <c r="J21" s="35">
        <f t="shared" si="8"/>
        <v>210873.73000000004</v>
      </c>
      <c r="O21" s="92"/>
    </row>
    <row r="22" spans="3:15" x14ac:dyDescent="0.35">
      <c r="C22" s="43" t="s">
        <v>125</v>
      </c>
      <c r="D22" s="43" t="str">
        <f>_xlfn.XLOOKUP(C22,'Vendor List'!$B$2:$B$51,'Vendor List'!$C$2:$C$51,"NA")</f>
        <v>P</v>
      </c>
      <c r="E22" s="43" t="s">
        <v>126</v>
      </c>
      <c r="F22" s="35">
        <v>64510</v>
      </c>
      <c r="G22" s="35">
        <v>0</v>
      </c>
      <c r="H22" s="35">
        <v>0</v>
      </c>
      <c r="I22" s="35">
        <f t="shared" si="7"/>
        <v>0</v>
      </c>
      <c r="J22" s="35">
        <f t="shared" si="8"/>
        <v>64510</v>
      </c>
      <c r="O22" s="92"/>
    </row>
    <row r="23" spans="3:15" x14ac:dyDescent="0.35">
      <c r="C23" s="43" t="s">
        <v>127</v>
      </c>
      <c r="D23" s="43" t="str">
        <f>_xlfn.XLOOKUP(C23,'Vendor List'!$B$2:$B$51,'Vendor List'!$C$2:$C$51,"NA")</f>
        <v>P</v>
      </c>
      <c r="E23" s="43" t="s">
        <v>118</v>
      </c>
      <c r="F23" s="35">
        <v>10000</v>
      </c>
      <c r="G23" s="35">
        <v>10000</v>
      </c>
      <c r="H23" s="35">
        <v>0</v>
      </c>
      <c r="I23" s="35">
        <f t="shared" si="7"/>
        <v>10000</v>
      </c>
      <c r="J23" s="35">
        <f t="shared" si="8"/>
        <v>0</v>
      </c>
      <c r="O23" s="92"/>
    </row>
    <row r="24" spans="3:15" x14ac:dyDescent="0.35">
      <c r="C24" s="43" t="s">
        <v>127</v>
      </c>
      <c r="D24" s="43" t="str">
        <f>_xlfn.XLOOKUP(C24,'Vendor List'!$B$2:$B$51,'Vendor List'!$C$2:$C$51,"NA")</f>
        <v>P</v>
      </c>
      <c r="E24" s="43" t="s">
        <v>128</v>
      </c>
      <c r="F24" s="35">
        <v>226500</v>
      </c>
      <c r="G24" s="35">
        <v>145680</v>
      </c>
      <c r="H24" s="35">
        <v>0</v>
      </c>
      <c r="I24" s="35">
        <f t="shared" si="7"/>
        <v>145680</v>
      </c>
      <c r="J24" s="35">
        <f t="shared" si="8"/>
        <v>80820</v>
      </c>
      <c r="O24" s="92"/>
    </row>
    <row r="25" spans="3:15" x14ac:dyDescent="0.35">
      <c r="C25" s="43" t="s">
        <v>127</v>
      </c>
      <c r="D25" s="43" t="str">
        <f>_xlfn.XLOOKUP(C25,'Vendor List'!$B$2:$B$51,'Vendor List'!$C$2:$C$51,"NA")</f>
        <v>P</v>
      </c>
      <c r="E25" s="43" t="s">
        <v>129</v>
      </c>
      <c r="F25" s="35">
        <v>103760</v>
      </c>
      <c r="G25" s="35">
        <v>75500</v>
      </c>
      <c r="H25" s="35">
        <v>0</v>
      </c>
      <c r="I25" s="35">
        <f t="shared" ref="I25" si="9">SUM(G25:H25)</f>
        <v>75500</v>
      </c>
      <c r="J25" s="35">
        <f t="shared" ref="J25" si="10">F25-I25</f>
        <v>28260</v>
      </c>
      <c r="O25" s="92"/>
    </row>
    <row r="26" spans="3:15" x14ac:dyDescent="0.35">
      <c r="C26" s="20" t="s">
        <v>54</v>
      </c>
      <c r="D26" s="20"/>
      <c r="E26" s="7"/>
      <c r="F26" s="21">
        <f>SUM(F15:F25)</f>
        <v>1335493.22</v>
      </c>
      <c r="G26" s="21">
        <f t="shared" ref="G26:J26" si="11">SUM(G15:G25)</f>
        <v>623570</v>
      </c>
      <c r="H26" s="21">
        <f t="shared" si="11"/>
        <v>58140</v>
      </c>
      <c r="I26" s="21">
        <f t="shared" si="11"/>
        <v>681710</v>
      </c>
      <c r="J26" s="21">
        <f t="shared" si="11"/>
        <v>653783.22</v>
      </c>
    </row>
    <row r="27" spans="3:15" x14ac:dyDescent="0.35">
      <c r="C27" s="48" t="s">
        <v>55</v>
      </c>
      <c r="F27" s="3">
        <f>SUM(F15:F25)</f>
        <v>1335493.22</v>
      </c>
      <c r="G27" s="3">
        <f t="shared" ref="G27:J27" si="12">SUM(G15:G25)</f>
        <v>623570</v>
      </c>
      <c r="H27" s="3">
        <f t="shared" si="12"/>
        <v>58140</v>
      </c>
      <c r="I27" s="3">
        <f t="shared" si="12"/>
        <v>681710</v>
      </c>
      <c r="J27" s="3">
        <f t="shared" si="12"/>
        <v>653783.22</v>
      </c>
    </row>
    <row r="28" spans="3:15" x14ac:dyDescent="0.35">
      <c r="C28" s="48" t="s">
        <v>12</v>
      </c>
    </row>
    <row r="30" spans="3:15" x14ac:dyDescent="0.35">
      <c r="C30" s="1" t="s">
        <v>57</v>
      </c>
      <c r="D30" s="1"/>
    </row>
    <row r="31" spans="3:15" x14ac:dyDescent="0.35">
      <c r="C31" s="11" t="s">
        <v>130</v>
      </c>
      <c r="D31" s="11"/>
    </row>
    <row r="32" spans="3:15" x14ac:dyDescent="0.35">
      <c r="C32" s="31" t="s">
        <v>32</v>
      </c>
      <c r="D32" s="31" t="s">
        <v>33</v>
      </c>
      <c r="E32" s="31" t="s">
        <v>34</v>
      </c>
      <c r="F32" s="32" t="s">
        <v>59</v>
      </c>
      <c r="G32" s="6" t="s">
        <v>3</v>
      </c>
      <c r="H32" s="6" t="s">
        <v>4</v>
      </c>
      <c r="I32" s="6" t="s">
        <v>5</v>
      </c>
      <c r="J32" s="6" t="s">
        <v>6</v>
      </c>
      <c r="O32" s="6"/>
    </row>
    <row r="33" spans="1:16" x14ac:dyDescent="0.35">
      <c r="C33" s="46" t="s">
        <v>131</v>
      </c>
      <c r="D33" s="46" t="str">
        <f>_xlfn.XLOOKUP(C33,'Vendor List'!$B$2:$B$51,'Vendor List'!$C$2:$C$51,"NA")</f>
        <v>C</v>
      </c>
      <c r="E33" s="43" t="s">
        <v>128</v>
      </c>
      <c r="F33" s="47">
        <v>87882</v>
      </c>
      <c r="G33" s="35">
        <v>0</v>
      </c>
      <c r="H33" s="35">
        <v>0</v>
      </c>
      <c r="I33" s="35">
        <f t="shared" ref="I33" si="13">SUM(G33:H33)</f>
        <v>0</v>
      </c>
      <c r="J33" s="35">
        <f t="shared" ref="J33" si="14">F33-I33</f>
        <v>87882</v>
      </c>
      <c r="O33" s="6"/>
    </row>
    <row r="34" spans="1:16" x14ac:dyDescent="0.35">
      <c r="C34" s="46" t="s">
        <v>131</v>
      </c>
      <c r="D34" s="46" t="str">
        <f>_xlfn.XLOOKUP(C34,'Vendor List'!$B$2:$B$51,'Vendor List'!$C$2:$C$51,"NA")</f>
        <v>C</v>
      </c>
      <c r="E34" s="43" t="s">
        <v>129</v>
      </c>
      <c r="F34" s="47">
        <v>180261</v>
      </c>
      <c r="G34" s="35">
        <v>0</v>
      </c>
      <c r="H34" s="35">
        <v>0</v>
      </c>
      <c r="I34" s="35">
        <f t="shared" ref="I34" si="15">SUM(G34:H34)</f>
        <v>0</v>
      </c>
      <c r="J34" s="35">
        <f t="shared" ref="J34" si="16">F34-I34</f>
        <v>180261</v>
      </c>
      <c r="O34" s="6"/>
    </row>
    <row r="35" spans="1:16" s="3" customFormat="1" ht="15" thickBot="1" x14ac:dyDescent="0.4">
      <c r="A35"/>
      <c r="B35"/>
      <c r="C35" s="17" t="s">
        <v>132</v>
      </c>
      <c r="D35" s="17"/>
      <c r="E35" s="18"/>
      <c r="F35" s="19">
        <f>SUM(F33:F34)</f>
        <v>268143</v>
      </c>
      <c r="G35" s="19">
        <f t="shared" ref="G35:J35" si="17">SUM(G33:G34)</f>
        <v>0</v>
      </c>
      <c r="H35" s="19">
        <f t="shared" si="17"/>
        <v>0</v>
      </c>
      <c r="I35" s="19">
        <f t="shared" si="17"/>
        <v>0</v>
      </c>
      <c r="J35" s="19">
        <f t="shared" si="17"/>
        <v>268143</v>
      </c>
      <c r="O35"/>
      <c r="P35"/>
    </row>
    <row r="36" spans="1:16" s="3" customFormat="1" ht="15" thickTop="1" x14ac:dyDescent="0.35">
      <c r="A36"/>
      <c r="B36"/>
      <c r="C36" s="12" t="s">
        <v>133</v>
      </c>
      <c r="D36" s="12"/>
      <c r="E36" s="1"/>
      <c r="F36" s="13">
        <f>F35+F26</f>
        <v>1603636.22</v>
      </c>
      <c r="G36" s="3">
        <f>G35+G26</f>
        <v>623570</v>
      </c>
      <c r="H36" s="3">
        <f>H35+H26</f>
        <v>58140</v>
      </c>
      <c r="I36" s="3">
        <f>I35+I26</f>
        <v>681710</v>
      </c>
      <c r="J36" s="3">
        <f>J35+J26</f>
        <v>921926.22</v>
      </c>
      <c r="O36"/>
      <c r="P36"/>
    </row>
    <row r="37" spans="1:16" x14ac:dyDescent="0.35">
      <c r="F37" s="3"/>
      <c r="G37" s="44">
        <f>G36/$F$36</f>
        <v>0.38884754049768222</v>
      </c>
      <c r="H37" s="44">
        <f>H36/$F$36</f>
        <v>3.625510528815569E-2</v>
      </c>
      <c r="I37" s="44">
        <f>I36/$F$36</f>
        <v>0.4251026457858379</v>
      </c>
      <c r="J37" s="44">
        <f>J36/$F$36</f>
        <v>0.5748973542141621</v>
      </c>
    </row>
    <row r="41" spans="1:16" x14ac:dyDescent="0.35">
      <c r="E41" s="1"/>
      <c r="J41" s="32"/>
      <c r="K41" s="6"/>
      <c r="L41" s="6"/>
      <c r="M41" s="6"/>
      <c r="N41" s="6"/>
    </row>
  </sheetData>
  <autoFilter ref="C32:J32" xr:uid="{4A6AE90A-417C-479B-B371-E55BA92D020C}"/>
  <conditionalFormatting sqref="F8:G8">
    <cfRule type="duplicateValues" dxfId="0" priority="5"/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0C314-9CAB-436F-9789-B6FD1BA7232E}">
  <dimension ref="A1:J69"/>
  <sheetViews>
    <sheetView topLeftCell="A16" workbookViewId="0">
      <selection activeCell="E17" sqref="E17"/>
    </sheetView>
  </sheetViews>
  <sheetFormatPr defaultRowHeight="14.5" x14ac:dyDescent="0.35"/>
  <cols>
    <col min="1" max="1" width="29" bestFit="1" customWidth="1"/>
    <col min="2" max="2" width="12.7265625" bestFit="1" customWidth="1"/>
    <col min="3" max="3" width="17" bestFit="1" customWidth="1"/>
    <col min="4" max="4" width="15.26953125" bestFit="1" customWidth="1"/>
    <col min="5" max="5" width="14" bestFit="1" customWidth="1"/>
    <col min="6" max="6" width="7.54296875" bestFit="1" customWidth="1"/>
    <col min="7" max="7" width="9.54296875" bestFit="1" customWidth="1"/>
    <col min="9" max="9" width="14.453125" bestFit="1" customWidth="1"/>
    <col min="10" max="10" width="42.7265625" bestFit="1" customWidth="1"/>
  </cols>
  <sheetData>
    <row r="1" spans="1:10" x14ac:dyDescent="0.35">
      <c r="A1" s="1" t="s">
        <v>134</v>
      </c>
      <c r="B1" s="1" t="s">
        <v>135</v>
      </c>
      <c r="C1" s="1" t="s">
        <v>136</v>
      </c>
      <c r="D1" s="1" t="s">
        <v>137</v>
      </c>
      <c r="E1" s="1" t="s">
        <v>138</v>
      </c>
      <c r="F1" s="1" t="s">
        <v>139</v>
      </c>
      <c r="G1" s="1" t="s">
        <v>140</v>
      </c>
      <c r="I1" s="1" t="s">
        <v>141</v>
      </c>
      <c r="J1" s="1" t="s">
        <v>142</v>
      </c>
    </row>
    <row r="2" spans="1:10" x14ac:dyDescent="0.35">
      <c r="A2" t="s">
        <v>37</v>
      </c>
      <c r="B2" s="24" t="s">
        <v>143</v>
      </c>
      <c r="C2" s="24" t="s">
        <v>144</v>
      </c>
      <c r="D2" t="s">
        <v>58</v>
      </c>
      <c r="E2">
        <v>1</v>
      </c>
      <c r="F2" t="s">
        <v>145</v>
      </c>
      <c r="G2" t="s">
        <v>146</v>
      </c>
      <c r="I2">
        <v>2653</v>
      </c>
      <c r="J2" t="s">
        <v>147</v>
      </c>
    </row>
    <row r="3" spans="1:10" x14ac:dyDescent="0.35">
      <c r="A3" t="s">
        <v>148</v>
      </c>
      <c r="B3" s="24" t="s">
        <v>149</v>
      </c>
      <c r="C3" s="24" t="s">
        <v>144</v>
      </c>
      <c r="D3" t="s">
        <v>58</v>
      </c>
      <c r="E3">
        <v>2</v>
      </c>
      <c r="F3" t="s">
        <v>150</v>
      </c>
      <c r="G3" t="s">
        <v>151</v>
      </c>
      <c r="I3">
        <v>51541</v>
      </c>
      <c r="J3" t="s">
        <v>152</v>
      </c>
    </row>
    <row r="4" spans="1:10" x14ac:dyDescent="0.35">
      <c r="A4" t="s">
        <v>44</v>
      </c>
      <c r="B4" s="24" t="s">
        <v>153</v>
      </c>
      <c r="C4" s="24" t="s">
        <v>144</v>
      </c>
      <c r="D4" t="s">
        <v>58</v>
      </c>
      <c r="E4">
        <v>3</v>
      </c>
      <c r="F4" t="s">
        <v>154</v>
      </c>
      <c r="G4" t="s">
        <v>151</v>
      </c>
      <c r="I4">
        <v>51542</v>
      </c>
      <c r="J4" t="s">
        <v>155</v>
      </c>
    </row>
    <row r="5" spans="1:10" x14ac:dyDescent="0.35">
      <c r="A5" s="23" t="s">
        <v>61</v>
      </c>
      <c r="B5" s="29" t="s">
        <v>156</v>
      </c>
      <c r="C5" s="29" t="s">
        <v>144</v>
      </c>
      <c r="D5" s="23" t="s">
        <v>58</v>
      </c>
      <c r="E5">
        <v>4</v>
      </c>
      <c r="F5" t="s">
        <v>157</v>
      </c>
      <c r="G5" t="s">
        <v>146</v>
      </c>
      <c r="I5">
        <v>51543</v>
      </c>
      <c r="J5" t="s">
        <v>158</v>
      </c>
    </row>
    <row r="6" spans="1:10" x14ac:dyDescent="0.35">
      <c r="A6" t="s">
        <v>48</v>
      </c>
      <c r="B6" s="24" t="s">
        <v>159</v>
      </c>
      <c r="C6" s="24" t="s">
        <v>160</v>
      </c>
      <c r="D6" t="s">
        <v>58</v>
      </c>
      <c r="E6">
        <v>5</v>
      </c>
      <c r="F6" t="s">
        <v>161</v>
      </c>
      <c r="G6" t="s">
        <v>151</v>
      </c>
      <c r="I6">
        <v>51544</v>
      </c>
      <c r="J6" t="s">
        <v>162</v>
      </c>
    </row>
    <row r="7" spans="1:10" x14ac:dyDescent="0.35">
      <c r="A7" t="s">
        <v>62</v>
      </c>
      <c r="B7" s="24" t="s">
        <v>163</v>
      </c>
      <c r="C7" s="24" t="s">
        <v>164</v>
      </c>
      <c r="D7" t="s">
        <v>58</v>
      </c>
      <c r="E7">
        <v>6</v>
      </c>
      <c r="F7" t="s">
        <v>165</v>
      </c>
      <c r="G7" t="s">
        <v>151</v>
      </c>
      <c r="I7">
        <v>51580</v>
      </c>
      <c r="J7" t="s">
        <v>166</v>
      </c>
    </row>
    <row r="8" spans="1:10" x14ac:dyDescent="0.35">
      <c r="A8" t="s">
        <v>167</v>
      </c>
      <c r="B8" s="24" t="s">
        <v>168</v>
      </c>
      <c r="C8" s="24" t="s">
        <v>164</v>
      </c>
      <c r="D8" t="s">
        <v>58</v>
      </c>
      <c r="E8">
        <v>7</v>
      </c>
      <c r="F8" t="s">
        <v>169</v>
      </c>
      <c r="G8" t="s">
        <v>151</v>
      </c>
      <c r="I8">
        <v>51581</v>
      </c>
      <c r="J8" t="s">
        <v>170</v>
      </c>
    </row>
    <row r="9" spans="1:10" x14ac:dyDescent="0.35">
      <c r="A9" t="s">
        <v>77</v>
      </c>
      <c r="B9" s="24" t="s">
        <v>171</v>
      </c>
      <c r="C9" s="24" t="s">
        <v>164</v>
      </c>
      <c r="D9" t="s">
        <v>58</v>
      </c>
      <c r="E9">
        <v>8</v>
      </c>
      <c r="F9" s="24" t="s">
        <v>172</v>
      </c>
      <c r="G9" t="s">
        <v>151</v>
      </c>
      <c r="I9">
        <v>51582</v>
      </c>
      <c r="J9" t="s">
        <v>173</v>
      </c>
    </row>
    <row r="10" spans="1:10" x14ac:dyDescent="0.35">
      <c r="A10" s="23" t="s">
        <v>74</v>
      </c>
      <c r="B10" s="29" t="s">
        <v>174</v>
      </c>
      <c r="C10" s="29" t="s">
        <v>144</v>
      </c>
      <c r="D10" s="23" t="s">
        <v>58</v>
      </c>
      <c r="E10">
        <v>9</v>
      </c>
      <c r="F10" t="s">
        <v>175</v>
      </c>
      <c r="G10" t="s">
        <v>146</v>
      </c>
    </row>
    <row r="11" spans="1:10" x14ac:dyDescent="0.35">
      <c r="A11" t="s">
        <v>66</v>
      </c>
      <c r="B11" s="24" t="s">
        <v>176</v>
      </c>
      <c r="C11" s="24" t="s">
        <v>144</v>
      </c>
      <c r="D11" t="s">
        <v>58</v>
      </c>
      <c r="E11">
        <v>10</v>
      </c>
      <c r="F11" t="s">
        <v>177</v>
      </c>
      <c r="G11" t="s">
        <v>151</v>
      </c>
    </row>
    <row r="12" spans="1:10" x14ac:dyDescent="0.35">
      <c r="A12" t="s">
        <v>70</v>
      </c>
      <c r="B12" s="24" t="s">
        <v>178</v>
      </c>
      <c r="C12" s="24" t="s">
        <v>144</v>
      </c>
      <c r="D12" t="s">
        <v>58</v>
      </c>
      <c r="E12">
        <v>11</v>
      </c>
      <c r="F12" t="s">
        <v>179</v>
      </c>
      <c r="G12" t="s">
        <v>151</v>
      </c>
    </row>
    <row r="13" spans="1:10" x14ac:dyDescent="0.35">
      <c r="A13" t="s">
        <v>68</v>
      </c>
      <c r="B13" s="24" t="s">
        <v>180</v>
      </c>
      <c r="C13" s="24" t="s">
        <v>144</v>
      </c>
      <c r="D13" t="s">
        <v>58</v>
      </c>
      <c r="E13">
        <v>12</v>
      </c>
      <c r="F13" t="s">
        <v>181</v>
      </c>
      <c r="G13" t="s">
        <v>151</v>
      </c>
    </row>
    <row r="14" spans="1:10" x14ac:dyDescent="0.35">
      <c r="A14" t="s">
        <v>182</v>
      </c>
      <c r="B14" s="24" t="s">
        <v>183</v>
      </c>
      <c r="C14" s="24" t="s">
        <v>144</v>
      </c>
      <c r="D14" t="s">
        <v>58</v>
      </c>
      <c r="E14">
        <v>13</v>
      </c>
      <c r="F14" t="s">
        <v>184</v>
      </c>
      <c r="G14" t="s">
        <v>146</v>
      </c>
    </row>
    <row r="15" spans="1:10" x14ac:dyDescent="0.35">
      <c r="A15" t="s">
        <v>50</v>
      </c>
      <c r="B15" s="24" t="s">
        <v>185</v>
      </c>
      <c r="C15" s="24" t="s">
        <v>144</v>
      </c>
      <c r="D15" t="s">
        <v>58</v>
      </c>
      <c r="E15">
        <v>14</v>
      </c>
      <c r="F15" t="s">
        <v>186</v>
      </c>
      <c r="G15" t="s">
        <v>146</v>
      </c>
    </row>
    <row r="16" spans="1:10" x14ac:dyDescent="0.35">
      <c r="A16" t="s">
        <v>40</v>
      </c>
      <c r="B16" s="24" t="s">
        <v>187</v>
      </c>
      <c r="C16" s="24" t="s">
        <v>144</v>
      </c>
      <c r="D16" t="s">
        <v>58</v>
      </c>
      <c r="E16">
        <v>15</v>
      </c>
      <c r="F16" t="s">
        <v>188</v>
      </c>
      <c r="G16" t="s">
        <v>146</v>
      </c>
    </row>
    <row r="17" spans="1:10" x14ac:dyDescent="0.35">
      <c r="A17" t="s">
        <v>189</v>
      </c>
      <c r="B17" s="24" t="s">
        <v>190</v>
      </c>
      <c r="C17" s="24" t="s">
        <v>144</v>
      </c>
      <c r="D17" t="s">
        <v>58</v>
      </c>
      <c r="E17">
        <v>16</v>
      </c>
      <c r="F17" t="s">
        <v>191</v>
      </c>
      <c r="G17" t="s">
        <v>151</v>
      </c>
    </row>
    <row r="18" spans="1:10" x14ac:dyDescent="0.35">
      <c r="A18" t="s">
        <v>42</v>
      </c>
      <c r="B18" s="24" t="s">
        <v>192</v>
      </c>
      <c r="C18" s="24" t="s">
        <v>144</v>
      </c>
      <c r="D18" t="s">
        <v>58</v>
      </c>
      <c r="E18">
        <v>17</v>
      </c>
      <c r="F18" t="s">
        <v>193</v>
      </c>
      <c r="G18" t="s">
        <v>151</v>
      </c>
      <c r="J18" s="25"/>
    </row>
    <row r="19" spans="1:10" x14ac:dyDescent="0.35">
      <c r="A19" t="s">
        <v>194</v>
      </c>
      <c r="B19" s="24" t="s">
        <v>195</v>
      </c>
      <c r="C19" s="24" t="s">
        <v>144</v>
      </c>
      <c r="D19" t="s">
        <v>58</v>
      </c>
      <c r="E19">
        <v>18</v>
      </c>
      <c r="F19" t="s">
        <v>196</v>
      </c>
      <c r="G19" t="s">
        <v>151</v>
      </c>
      <c r="J19" s="26"/>
    </row>
    <row r="20" spans="1:10" x14ac:dyDescent="0.35">
      <c r="A20" t="s">
        <v>65</v>
      </c>
      <c r="B20" s="24" t="s">
        <v>197</v>
      </c>
      <c r="C20" s="24" t="s">
        <v>144</v>
      </c>
      <c r="D20" t="s">
        <v>58</v>
      </c>
      <c r="E20">
        <v>19</v>
      </c>
      <c r="F20" t="s">
        <v>198</v>
      </c>
      <c r="G20" t="s">
        <v>151</v>
      </c>
      <c r="J20" s="26"/>
    </row>
    <row r="21" spans="1:10" x14ac:dyDescent="0.35">
      <c r="A21" t="s">
        <v>199</v>
      </c>
      <c r="B21" s="24" t="s">
        <v>200</v>
      </c>
      <c r="C21" s="24" t="s">
        <v>160</v>
      </c>
      <c r="D21" t="s">
        <v>58</v>
      </c>
      <c r="E21">
        <v>20</v>
      </c>
      <c r="F21" t="s">
        <v>201</v>
      </c>
      <c r="G21" t="s">
        <v>146</v>
      </c>
      <c r="J21" s="26"/>
    </row>
    <row r="22" spans="1:10" x14ac:dyDescent="0.35">
      <c r="A22" t="s">
        <v>202</v>
      </c>
      <c r="B22" s="24" t="s">
        <v>203</v>
      </c>
      <c r="C22" s="24"/>
      <c r="D22" t="s">
        <v>58</v>
      </c>
      <c r="E22">
        <v>21</v>
      </c>
      <c r="F22" t="s">
        <v>204</v>
      </c>
      <c r="G22" t="s">
        <v>151</v>
      </c>
      <c r="J22" s="26"/>
    </row>
    <row r="23" spans="1:10" x14ac:dyDescent="0.35">
      <c r="A23" s="27" t="s">
        <v>205</v>
      </c>
      <c r="B23" s="30" t="s">
        <v>206</v>
      </c>
      <c r="C23" s="30"/>
      <c r="D23" s="27" t="s">
        <v>58</v>
      </c>
      <c r="E23">
        <v>22</v>
      </c>
      <c r="F23" t="s">
        <v>207</v>
      </c>
      <c r="G23" t="s">
        <v>151</v>
      </c>
      <c r="J23" s="26"/>
    </row>
    <row r="24" spans="1:10" x14ac:dyDescent="0.35">
      <c r="A24" s="27" t="s">
        <v>208</v>
      </c>
      <c r="B24" s="30" t="s">
        <v>209</v>
      </c>
      <c r="C24" s="30"/>
      <c r="D24" s="27" t="s">
        <v>58</v>
      </c>
      <c r="E24">
        <v>23</v>
      </c>
      <c r="F24" t="s">
        <v>210</v>
      </c>
      <c r="G24" t="s">
        <v>146</v>
      </c>
      <c r="J24" s="26"/>
    </row>
    <row r="25" spans="1:10" x14ac:dyDescent="0.35">
      <c r="A25" s="27" t="s">
        <v>211</v>
      </c>
      <c r="B25" s="30" t="s">
        <v>212</v>
      </c>
      <c r="C25" s="30"/>
      <c r="D25" s="27" t="s">
        <v>58</v>
      </c>
      <c r="E25">
        <v>24</v>
      </c>
      <c r="F25" t="s">
        <v>213</v>
      </c>
      <c r="G25" t="s">
        <v>146</v>
      </c>
      <c r="J25" s="26"/>
    </row>
    <row r="26" spans="1:10" x14ac:dyDescent="0.35">
      <c r="A26" s="27" t="s">
        <v>214</v>
      </c>
      <c r="B26" s="30" t="s">
        <v>215</v>
      </c>
      <c r="C26" s="30"/>
      <c r="D26" s="27" t="s">
        <v>58</v>
      </c>
      <c r="E26">
        <v>25</v>
      </c>
      <c r="F26" t="s">
        <v>216</v>
      </c>
      <c r="G26" t="s">
        <v>146</v>
      </c>
      <c r="J26" s="26"/>
    </row>
    <row r="27" spans="1:10" x14ac:dyDescent="0.35">
      <c r="A27" s="27" t="s">
        <v>217</v>
      </c>
      <c r="B27" s="30" t="s">
        <v>218</v>
      </c>
      <c r="C27" s="30"/>
      <c r="D27" s="27" t="s">
        <v>58</v>
      </c>
      <c r="E27">
        <v>26</v>
      </c>
      <c r="F27" t="s">
        <v>219</v>
      </c>
      <c r="G27" t="s">
        <v>146</v>
      </c>
      <c r="J27" s="26"/>
    </row>
    <row r="28" spans="1:10" x14ac:dyDescent="0.35">
      <c r="A28" s="27" t="s">
        <v>220</v>
      </c>
      <c r="B28" s="30" t="s">
        <v>221</v>
      </c>
      <c r="C28" s="30"/>
      <c r="D28" s="27" t="s">
        <v>58</v>
      </c>
      <c r="E28">
        <v>27</v>
      </c>
      <c r="F28" t="s">
        <v>222</v>
      </c>
      <c r="G28" t="s">
        <v>146</v>
      </c>
      <c r="J28" s="26"/>
    </row>
    <row r="29" spans="1:10" x14ac:dyDescent="0.35">
      <c r="A29" s="27" t="s">
        <v>223</v>
      </c>
      <c r="B29" s="30" t="s">
        <v>224</v>
      </c>
      <c r="C29" s="30"/>
      <c r="D29" s="27" t="s">
        <v>58</v>
      </c>
      <c r="E29">
        <v>28</v>
      </c>
      <c r="F29" t="s">
        <v>225</v>
      </c>
      <c r="G29" t="s">
        <v>151</v>
      </c>
      <c r="J29" s="26"/>
    </row>
    <row r="30" spans="1:10" x14ac:dyDescent="0.35">
      <c r="A30" s="27" t="s">
        <v>226</v>
      </c>
      <c r="B30" s="30">
        <v>5154173</v>
      </c>
      <c r="C30" s="30"/>
      <c r="D30" s="27" t="s">
        <v>58</v>
      </c>
      <c r="E30">
        <v>29</v>
      </c>
      <c r="F30" t="s">
        <v>227</v>
      </c>
      <c r="G30" t="s">
        <v>146</v>
      </c>
      <c r="J30" s="26"/>
    </row>
    <row r="31" spans="1:10" x14ac:dyDescent="0.35">
      <c r="A31" s="27" t="s">
        <v>228</v>
      </c>
      <c r="B31" s="30" t="s">
        <v>229</v>
      </c>
      <c r="C31" s="30"/>
      <c r="D31" s="27" t="s">
        <v>58</v>
      </c>
      <c r="E31">
        <v>30</v>
      </c>
      <c r="F31" t="s">
        <v>230</v>
      </c>
      <c r="G31" t="s">
        <v>146</v>
      </c>
    </row>
    <row r="32" spans="1:10" x14ac:dyDescent="0.35">
      <c r="A32" t="s">
        <v>231</v>
      </c>
      <c r="B32" s="24" t="s">
        <v>232</v>
      </c>
      <c r="C32" s="24"/>
      <c r="D32" t="s">
        <v>58</v>
      </c>
      <c r="E32">
        <v>31</v>
      </c>
      <c r="F32" t="s">
        <v>233</v>
      </c>
      <c r="G32" t="s">
        <v>146</v>
      </c>
    </row>
    <row r="33" spans="1:10" x14ac:dyDescent="0.35">
      <c r="A33" t="s">
        <v>234</v>
      </c>
      <c r="B33" s="24" t="s">
        <v>235</v>
      </c>
      <c r="C33" s="24"/>
      <c r="D33" t="s">
        <v>58</v>
      </c>
      <c r="E33">
        <v>32</v>
      </c>
      <c r="F33" t="s">
        <v>236</v>
      </c>
      <c r="G33" t="s">
        <v>146</v>
      </c>
    </row>
    <row r="34" spans="1:10" x14ac:dyDescent="0.35">
      <c r="A34" s="23" t="s">
        <v>237</v>
      </c>
      <c r="B34" s="29" t="s">
        <v>238</v>
      </c>
      <c r="C34" s="29" t="s">
        <v>239</v>
      </c>
      <c r="D34" s="23" t="s">
        <v>240</v>
      </c>
      <c r="E34">
        <v>33</v>
      </c>
      <c r="F34" t="s">
        <v>241</v>
      </c>
      <c r="G34" t="s">
        <v>146</v>
      </c>
    </row>
    <row r="35" spans="1:10" x14ac:dyDescent="0.35">
      <c r="A35" s="23" t="s">
        <v>97</v>
      </c>
      <c r="B35" s="29" t="s">
        <v>242</v>
      </c>
      <c r="C35" s="29" t="s">
        <v>239</v>
      </c>
      <c r="D35" s="23" t="s">
        <v>240</v>
      </c>
      <c r="E35">
        <v>34</v>
      </c>
      <c r="F35" t="s">
        <v>243</v>
      </c>
      <c r="G35" t="s">
        <v>146</v>
      </c>
    </row>
    <row r="36" spans="1:10" x14ac:dyDescent="0.35">
      <c r="A36" s="23" t="s">
        <v>115</v>
      </c>
      <c r="B36" s="29" t="s">
        <v>244</v>
      </c>
      <c r="C36" s="29" t="s">
        <v>239</v>
      </c>
      <c r="D36" s="23" t="s">
        <v>240</v>
      </c>
      <c r="E36">
        <v>35</v>
      </c>
      <c r="F36" t="s">
        <v>245</v>
      </c>
      <c r="G36" t="s">
        <v>246</v>
      </c>
    </row>
    <row r="37" spans="1:10" x14ac:dyDescent="0.35">
      <c r="A37" t="s">
        <v>99</v>
      </c>
      <c r="B37" s="24" t="s">
        <v>247</v>
      </c>
      <c r="C37" s="29" t="s">
        <v>239</v>
      </c>
      <c r="D37" t="s">
        <v>240</v>
      </c>
      <c r="E37">
        <v>36</v>
      </c>
      <c r="F37" t="s">
        <v>248</v>
      </c>
      <c r="G37" t="s">
        <v>246</v>
      </c>
    </row>
    <row r="38" spans="1:10" x14ac:dyDescent="0.35">
      <c r="A38" t="s">
        <v>105</v>
      </c>
      <c r="B38" s="24" t="s">
        <v>249</v>
      </c>
      <c r="C38" s="24" t="s">
        <v>250</v>
      </c>
      <c r="D38" t="s">
        <v>106</v>
      </c>
      <c r="E38">
        <v>37</v>
      </c>
      <c r="F38" t="s">
        <v>251</v>
      </c>
      <c r="G38" t="s">
        <v>146</v>
      </c>
    </row>
    <row r="39" spans="1:10" x14ac:dyDescent="0.35">
      <c r="A39" t="s">
        <v>103</v>
      </c>
      <c r="B39" s="24" t="s">
        <v>252</v>
      </c>
      <c r="C39" s="24" t="s">
        <v>250</v>
      </c>
      <c r="D39" t="s">
        <v>106</v>
      </c>
      <c r="E39">
        <v>38</v>
      </c>
      <c r="F39" t="s">
        <v>253</v>
      </c>
      <c r="G39" t="s">
        <v>246</v>
      </c>
    </row>
    <row r="40" spans="1:10" x14ac:dyDescent="0.35">
      <c r="A40" t="s">
        <v>108</v>
      </c>
      <c r="B40" s="24" t="s">
        <v>254</v>
      </c>
      <c r="C40" s="24" t="s">
        <v>250</v>
      </c>
      <c r="D40" t="s">
        <v>106</v>
      </c>
      <c r="E40">
        <v>39</v>
      </c>
      <c r="F40" t="s">
        <v>255</v>
      </c>
      <c r="G40" t="s">
        <v>246</v>
      </c>
    </row>
    <row r="41" spans="1:10" x14ac:dyDescent="0.35">
      <c r="A41" t="s">
        <v>94</v>
      </c>
      <c r="B41" s="24" t="s">
        <v>256</v>
      </c>
      <c r="C41" s="24" t="s">
        <v>250</v>
      </c>
      <c r="D41" t="s">
        <v>106</v>
      </c>
      <c r="E41">
        <v>40</v>
      </c>
      <c r="F41" t="s">
        <v>257</v>
      </c>
      <c r="G41" t="s">
        <v>246</v>
      </c>
    </row>
    <row r="42" spans="1:10" x14ac:dyDescent="0.35">
      <c r="A42" t="s">
        <v>258</v>
      </c>
      <c r="B42" s="24" t="s">
        <v>259</v>
      </c>
      <c r="C42" s="24" t="s">
        <v>250</v>
      </c>
      <c r="D42" t="s">
        <v>106</v>
      </c>
      <c r="E42">
        <v>41</v>
      </c>
      <c r="F42" t="s">
        <v>260</v>
      </c>
      <c r="G42" t="s">
        <v>246</v>
      </c>
    </row>
    <row r="43" spans="1:10" x14ac:dyDescent="0.35">
      <c r="A43" t="s">
        <v>107</v>
      </c>
      <c r="B43" s="24" t="s">
        <v>261</v>
      </c>
      <c r="C43" s="24" t="s">
        <v>262</v>
      </c>
      <c r="D43" t="s">
        <v>263</v>
      </c>
      <c r="E43">
        <v>42</v>
      </c>
      <c r="F43" t="s">
        <v>264</v>
      </c>
      <c r="G43" t="s">
        <v>146</v>
      </c>
    </row>
    <row r="44" spans="1:10" x14ac:dyDescent="0.35">
      <c r="A44" t="s">
        <v>265</v>
      </c>
      <c r="B44" s="24" t="s">
        <v>266</v>
      </c>
      <c r="C44" s="24" t="s">
        <v>262</v>
      </c>
      <c r="D44" t="s">
        <v>263</v>
      </c>
      <c r="E44">
        <v>43</v>
      </c>
      <c r="F44" t="s">
        <v>267</v>
      </c>
      <c r="G44" t="s">
        <v>146</v>
      </c>
    </row>
    <row r="45" spans="1:10" x14ac:dyDescent="0.35">
      <c r="A45" t="s">
        <v>101</v>
      </c>
      <c r="B45" s="24" t="s">
        <v>268</v>
      </c>
      <c r="C45" s="24" t="s">
        <v>262</v>
      </c>
      <c r="D45" t="s">
        <v>263</v>
      </c>
      <c r="E45">
        <v>44</v>
      </c>
      <c r="F45" t="s">
        <v>269</v>
      </c>
      <c r="G45" t="s">
        <v>146</v>
      </c>
      <c r="J45" s="28"/>
    </row>
    <row r="46" spans="1:10" x14ac:dyDescent="0.35">
      <c r="A46" t="s">
        <v>270</v>
      </c>
      <c r="B46" s="24" t="s">
        <v>271</v>
      </c>
      <c r="C46" s="24" t="s">
        <v>262</v>
      </c>
      <c r="D46" t="s">
        <v>263</v>
      </c>
      <c r="E46">
        <v>45</v>
      </c>
      <c r="F46" t="s">
        <v>272</v>
      </c>
      <c r="G46" t="s">
        <v>146</v>
      </c>
      <c r="J46" s="28"/>
    </row>
    <row r="47" spans="1:10" x14ac:dyDescent="0.35">
      <c r="A47" t="s">
        <v>273</v>
      </c>
      <c r="B47" s="24" t="s">
        <v>274</v>
      </c>
      <c r="C47" s="24" t="s">
        <v>262</v>
      </c>
      <c r="D47" t="s">
        <v>263</v>
      </c>
      <c r="E47">
        <v>46</v>
      </c>
      <c r="F47" t="s">
        <v>275</v>
      </c>
      <c r="G47" t="s">
        <v>151</v>
      </c>
    </row>
    <row r="48" spans="1:10" x14ac:dyDescent="0.35">
      <c r="A48" t="s">
        <v>96</v>
      </c>
      <c r="B48" s="24" t="s">
        <v>276</v>
      </c>
      <c r="C48" s="24" t="s">
        <v>262</v>
      </c>
      <c r="D48" t="s">
        <v>263</v>
      </c>
      <c r="E48">
        <v>47</v>
      </c>
      <c r="F48" t="s">
        <v>277</v>
      </c>
      <c r="G48" t="s">
        <v>246</v>
      </c>
    </row>
    <row r="49" spans="1:7" x14ac:dyDescent="0.35">
      <c r="A49" t="s">
        <v>118</v>
      </c>
      <c r="B49" s="24" t="s">
        <v>278</v>
      </c>
      <c r="C49" s="24" t="s">
        <v>279</v>
      </c>
      <c r="D49" t="s">
        <v>280</v>
      </c>
      <c r="E49">
        <v>48</v>
      </c>
      <c r="F49" t="s">
        <v>281</v>
      </c>
      <c r="G49" t="s">
        <v>246</v>
      </c>
    </row>
    <row r="50" spans="1:7" x14ac:dyDescent="0.35">
      <c r="A50" t="s">
        <v>128</v>
      </c>
      <c r="B50" s="24" t="s">
        <v>282</v>
      </c>
      <c r="C50" s="24" t="s">
        <v>279</v>
      </c>
      <c r="D50" t="s">
        <v>280</v>
      </c>
      <c r="E50">
        <v>49</v>
      </c>
      <c r="F50" t="s">
        <v>283</v>
      </c>
      <c r="G50" t="s">
        <v>246</v>
      </c>
    </row>
    <row r="51" spans="1:7" x14ac:dyDescent="0.35">
      <c r="A51" t="s">
        <v>129</v>
      </c>
      <c r="B51" s="24" t="s">
        <v>284</v>
      </c>
      <c r="C51" s="24" t="s">
        <v>279</v>
      </c>
      <c r="D51" t="s">
        <v>280</v>
      </c>
      <c r="E51">
        <v>50</v>
      </c>
      <c r="F51" t="s">
        <v>285</v>
      </c>
      <c r="G51" t="s">
        <v>246</v>
      </c>
    </row>
    <row r="52" spans="1:7" x14ac:dyDescent="0.35">
      <c r="A52" t="s">
        <v>286</v>
      </c>
      <c r="B52" s="24" t="s">
        <v>287</v>
      </c>
      <c r="C52" s="24" t="s">
        <v>279</v>
      </c>
      <c r="D52" t="s">
        <v>280</v>
      </c>
      <c r="E52">
        <v>51</v>
      </c>
    </row>
    <row r="53" spans="1:7" x14ac:dyDescent="0.35">
      <c r="A53" t="s">
        <v>120</v>
      </c>
      <c r="B53" s="24" t="s">
        <v>288</v>
      </c>
      <c r="C53" s="24" t="s">
        <v>250</v>
      </c>
      <c r="D53" t="s">
        <v>289</v>
      </c>
      <c r="E53">
        <v>52</v>
      </c>
      <c r="F53" t="s">
        <v>290</v>
      </c>
      <c r="G53" t="s">
        <v>246</v>
      </c>
    </row>
    <row r="54" spans="1:7" x14ac:dyDescent="0.35">
      <c r="A54" t="s">
        <v>126</v>
      </c>
      <c r="B54" s="24" t="s">
        <v>291</v>
      </c>
      <c r="C54" s="24" t="s">
        <v>250</v>
      </c>
      <c r="D54" t="s">
        <v>289</v>
      </c>
      <c r="E54">
        <v>53</v>
      </c>
      <c r="F54" t="s">
        <v>292</v>
      </c>
      <c r="G54" t="s">
        <v>246</v>
      </c>
    </row>
    <row r="55" spans="1:7" x14ac:dyDescent="0.35">
      <c r="A55" t="s">
        <v>122</v>
      </c>
      <c r="B55" s="24" t="s">
        <v>293</v>
      </c>
      <c r="C55" s="24" t="s">
        <v>250</v>
      </c>
      <c r="D55" t="s">
        <v>289</v>
      </c>
      <c r="E55">
        <v>54</v>
      </c>
      <c r="F55" t="s">
        <v>294</v>
      </c>
      <c r="G55" t="s">
        <v>246</v>
      </c>
    </row>
    <row r="56" spans="1:7" x14ac:dyDescent="0.35">
      <c r="A56" t="s">
        <v>123</v>
      </c>
      <c r="B56" s="24" t="s">
        <v>295</v>
      </c>
      <c r="C56" s="24" t="s">
        <v>250</v>
      </c>
      <c r="D56" t="s">
        <v>289</v>
      </c>
      <c r="E56">
        <v>55</v>
      </c>
      <c r="F56" t="s">
        <v>296</v>
      </c>
      <c r="G56" t="s">
        <v>246</v>
      </c>
    </row>
    <row r="57" spans="1:7" x14ac:dyDescent="0.35">
      <c r="A57" t="s">
        <v>124</v>
      </c>
      <c r="B57" s="24" t="s">
        <v>297</v>
      </c>
      <c r="C57" s="24" t="s">
        <v>250</v>
      </c>
      <c r="D57" t="s">
        <v>289</v>
      </c>
      <c r="E57">
        <v>56</v>
      </c>
      <c r="F57" t="s">
        <v>298</v>
      </c>
      <c r="G57" t="s">
        <v>246</v>
      </c>
    </row>
    <row r="58" spans="1:7" x14ac:dyDescent="0.35">
      <c r="A58" t="s">
        <v>299</v>
      </c>
      <c r="B58" s="24" t="s">
        <v>300</v>
      </c>
      <c r="C58" s="24"/>
      <c r="D58" t="s">
        <v>301</v>
      </c>
      <c r="E58">
        <v>57</v>
      </c>
    </row>
    <row r="59" spans="1:7" x14ac:dyDescent="0.35">
      <c r="A59" t="s">
        <v>302</v>
      </c>
      <c r="B59" s="24" t="s">
        <v>303</v>
      </c>
      <c r="C59" s="24"/>
      <c r="D59" t="s">
        <v>301</v>
      </c>
      <c r="E59">
        <v>58</v>
      </c>
    </row>
    <row r="60" spans="1:7" x14ac:dyDescent="0.35">
      <c r="A60" t="s">
        <v>304</v>
      </c>
      <c r="B60" s="24" t="s">
        <v>305</v>
      </c>
      <c r="C60" s="24"/>
      <c r="D60" t="s">
        <v>301</v>
      </c>
      <c r="E60">
        <v>59</v>
      </c>
    </row>
    <row r="61" spans="1:7" x14ac:dyDescent="0.35">
      <c r="A61" t="s">
        <v>306</v>
      </c>
      <c r="B61" s="24" t="s">
        <v>307</v>
      </c>
      <c r="C61" s="24"/>
      <c r="D61" t="s">
        <v>301</v>
      </c>
      <c r="E61">
        <v>60</v>
      </c>
    </row>
    <row r="62" spans="1:7" x14ac:dyDescent="0.35">
      <c r="A62" t="s">
        <v>308</v>
      </c>
      <c r="B62" s="24" t="s">
        <v>309</v>
      </c>
      <c r="C62" s="24"/>
      <c r="D62" t="s">
        <v>301</v>
      </c>
      <c r="E62">
        <v>61</v>
      </c>
    </row>
    <row r="63" spans="1:7" x14ac:dyDescent="0.35">
      <c r="A63" t="s">
        <v>310</v>
      </c>
      <c r="B63" s="24" t="s">
        <v>311</v>
      </c>
      <c r="C63" s="24"/>
      <c r="D63" t="s">
        <v>312</v>
      </c>
      <c r="E63">
        <v>62</v>
      </c>
    </row>
    <row r="64" spans="1:7" x14ac:dyDescent="0.35">
      <c r="A64" t="s">
        <v>313</v>
      </c>
      <c r="B64" s="24" t="s">
        <v>314</v>
      </c>
      <c r="C64" s="24"/>
      <c r="D64" t="s">
        <v>312</v>
      </c>
      <c r="E64">
        <v>63</v>
      </c>
    </row>
    <row r="65" spans="1:7" x14ac:dyDescent="0.35">
      <c r="A65" t="s">
        <v>315</v>
      </c>
      <c r="B65" s="24" t="s">
        <v>316</v>
      </c>
      <c r="C65" s="24"/>
      <c r="D65" t="s">
        <v>312</v>
      </c>
      <c r="E65">
        <v>64</v>
      </c>
    </row>
    <row r="66" spans="1:7" x14ac:dyDescent="0.35">
      <c r="A66" t="s">
        <v>317</v>
      </c>
      <c r="B66" s="24" t="s">
        <v>318</v>
      </c>
      <c r="C66" s="24"/>
      <c r="D66" t="s">
        <v>312</v>
      </c>
      <c r="E66">
        <v>65</v>
      </c>
    </row>
    <row r="67" spans="1:7" x14ac:dyDescent="0.35">
      <c r="A67" t="s">
        <v>319</v>
      </c>
      <c r="B67" s="24" t="s">
        <v>320</v>
      </c>
      <c r="C67" s="24"/>
      <c r="D67" t="s">
        <v>312</v>
      </c>
      <c r="E67">
        <v>66</v>
      </c>
    </row>
    <row r="68" spans="1:7" x14ac:dyDescent="0.35">
      <c r="A68" t="s">
        <v>321</v>
      </c>
      <c r="B68" s="24" t="s">
        <v>322</v>
      </c>
      <c r="C68" s="24"/>
      <c r="F68" t="s">
        <v>323</v>
      </c>
      <c r="G68" t="s">
        <v>146</v>
      </c>
    </row>
    <row r="69" spans="1:7" x14ac:dyDescent="0.35">
      <c r="A69" t="s">
        <v>324</v>
      </c>
      <c r="B69" s="24" t="s">
        <v>325</v>
      </c>
      <c r="C69" s="24"/>
      <c r="D69" t="s">
        <v>106</v>
      </c>
      <c r="F69" t="s">
        <v>326</v>
      </c>
      <c r="G69" t="s">
        <v>246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DBCC39-6B3F-47DC-86D0-750AEE85C826}">
  <dimension ref="B2:C51"/>
  <sheetViews>
    <sheetView topLeftCell="A4" workbookViewId="0">
      <selection activeCell="E17" sqref="E17"/>
    </sheetView>
  </sheetViews>
  <sheetFormatPr defaultRowHeight="14.5" x14ac:dyDescent="0.35"/>
  <cols>
    <col min="2" max="2" width="36.81640625" bestFit="1" customWidth="1"/>
    <col min="3" max="3" width="4.1796875" bestFit="1" customWidth="1"/>
  </cols>
  <sheetData>
    <row r="2" spans="2:3" x14ac:dyDescent="0.35">
      <c r="B2" s="1" t="s">
        <v>32</v>
      </c>
      <c r="C2" s="1" t="s">
        <v>33</v>
      </c>
    </row>
    <row r="3" spans="2:3" x14ac:dyDescent="0.35">
      <c r="B3" s="8" t="s">
        <v>73</v>
      </c>
      <c r="C3" t="s">
        <v>47</v>
      </c>
    </row>
    <row r="4" spans="2:3" x14ac:dyDescent="0.35">
      <c r="B4" s="49" t="s">
        <v>121</v>
      </c>
      <c r="C4" t="s">
        <v>47</v>
      </c>
    </row>
    <row r="5" spans="2:3" x14ac:dyDescent="0.35">
      <c r="B5" s="50" t="s">
        <v>104</v>
      </c>
      <c r="C5" t="s">
        <v>47</v>
      </c>
    </row>
    <row r="6" spans="2:3" x14ac:dyDescent="0.35">
      <c r="B6" t="s">
        <v>41</v>
      </c>
      <c r="C6" t="s">
        <v>47</v>
      </c>
    </row>
    <row r="7" spans="2:3" x14ac:dyDescent="0.35">
      <c r="B7" s="8" t="s">
        <v>85</v>
      </c>
      <c r="C7" t="s">
        <v>47</v>
      </c>
    </row>
    <row r="8" spans="2:3" x14ac:dyDescent="0.35">
      <c r="B8" s="49" t="s">
        <v>127</v>
      </c>
      <c r="C8" t="s">
        <v>47</v>
      </c>
    </row>
    <row r="9" spans="2:3" x14ac:dyDescent="0.35">
      <c r="B9" s="8" t="s">
        <v>63</v>
      </c>
      <c r="C9" t="s">
        <v>47</v>
      </c>
    </row>
    <row r="10" spans="2:3" x14ac:dyDescent="0.35">
      <c r="B10" t="s">
        <v>49</v>
      </c>
      <c r="C10" t="s">
        <v>47</v>
      </c>
    </row>
    <row r="11" spans="2:3" x14ac:dyDescent="0.35">
      <c r="B11" t="s">
        <v>64</v>
      </c>
      <c r="C11" t="s">
        <v>47</v>
      </c>
    </row>
    <row r="12" spans="2:3" x14ac:dyDescent="0.35">
      <c r="B12" t="s">
        <v>327</v>
      </c>
      <c r="C12" t="s">
        <v>47</v>
      </c>
    </row>
    <row r="13" spans="2:3" x14ac:dyDescent="0.35">
      <c r="B13" s="8" t="s">
        <v>45</v>
      </c>
      <c r="C13" t="s">
        <v>47</v>
      </c>
    </row>
    <row r="14" spans="2:3" x14ac:dyDescent="0.35">
      <c r="B14" t="s">
        <v>36</v>
      </c>
      <c r="C14" t="s">
        <v>47</v>
      </c>
    </row>
    <row r="15" spans="2:3" x14ac:dyDescent="0.35">
      <c r="B15" s="50" t="s">
        <v>100</v>
      </c>
      <c r="C15" t="s">
        <v>328</v>
      </c>
    </row>
    <row r="16" spans="2:3" x14ac:dyDescent="0.35">
      <c r="B16" s="8" t="s">
        <v>39</v>
      </c>
      <c r="C16" t="s">
        <v>328</v>
      </c>
    </row>
    <row r="17" spans="2:3" x14ac:dyDescent="0.35">
      <c r="B17" s="8" t="s">
        <v>87</v>
      </c>
      <c r="C17" t="s">
        <v>47</v>
      </c>
    </row>
    <row r="18" spans="2:3" x14ac:dyDescent="0.35">
      <c r="B18" t="s">
        <v>114</v>
      </c>
      <c r="C18" t="s">
        <v>47</v>
      </c>
    </row>
    <row r="19" spans="2:3" x14ac:dyDescent="0.35">
      <c r="B19" t="s">
        <v>329</v>
      </c>
      <c r="C19" t="s">
        <v>328</v>
      </c>
    </row>
    <row r="20" spans="2:3" x14ac:dyDescent="0.35">
      <c r="B20" s="8" t="s">
        <v>67</v>
      </c>
      <c r="C20" t="s">
        <v>47</v>
      </c>
    </row>
    <row r="21" spans="2:3" x14ac:dyDescent="0.35">
      <c r="B21" s="51" t="s">
        <v>84</v>
      </c>
      <c r="C21" t="s">
        <v>47</v>
      </c>
    </row>
    <row r="22" spans="2:3" x14ac:dyDescent="0.35">
      <c r="B22" s="8" t="s">
        <v>69</v>
      </c>
      <c r="C22" t="s">
        <v>47</v>
      </c>
    </row>
    <row r="23" spans="2:3" x14ac:dyDescent="0.35">
      <c r="B23" s="49" t="s">
        <v>119</v>
      </c>
      <c r="C23" t="s">
        <v>47</v>
      </c>
    </row>
    <row r="24" spans="2:3" x14ac:dyDescent="0.35">
      <c r="B24" s="50" t="s">
        <v>93</v>
      </c>
      <c r="C24" t="s">
        <v>47</v>
      </c>
    </row>
    <row r="25" spans="2:3" x14ac:dyDescent="0.35">
      <c r="B25" s="50" t="s">
        <v>95</v>
      </c>
      <c r="C25" t="s">
        <v>47</v>
      </c>
    </row>
    <row r="26" spans="2:3" x14ac:dyDescent="0.35">
      <c r="B26" s="8" t="s">
        <v>79</v>
      </c>
      <c r="C26" t="s">
        <v>47</v>
      </c>
    </row>
    <row r="27" spans="2:3" x14ac:dyDescent="0.35">
      <c r="B27" t="s">
        <v>38</v>
      </c>
      <c r="C27" t="s">
        <v>47</v>
      </c>
    </row>
    <row r="28" spans="2:3" x14ac:dyDescent="0.35">
      <c r="B28" s="8" t="s">
        <v>78</v>
      </c>
      <c r="C28" t="s">
        <v>47</v>
      </c>
    </row>
    <row r="29" spans="2:3" x14ac:dyDescent="0.35">
      <c r="B29" s="8" t="s">
        <v>81</v>
      </c>
      <c r="C29" t="s">
        <v>47</v>
      </c>
    </row>
    <row r="30" spans="2:3" x14ac:dyDescent="0.35">
      <c r="B30" s="52" t="s">
        <v>51</v>
      </c>
      <c r="C30" t="s">
        <v>47</v>
      </c>
    </row>
    <row r="31" spans="2:3" x14ac:dyDescent="0.35">
      <c r="B31" t="s">
        <v>112</v>
      </c>
      <c r="C31" t="s">
        <v>328</v>
      </c>
    </row>
    <row r="32" spans="2:3" x14ac:dyDescent="0.35">
      <c r="B32" s="52" t="s">
        <v>330</v>
      </c>
      <c r="C32" t="s">
        <v>328</v>
      </c>
    </row>
    <row r="33" spans="2:3" x14ac:dyDescent="0.35">
      <c r="B33" s="8" t="s">
        <v>52</v>
      </c>
      <c r="C33" t="s">
        <v>328</v>
      </c>
    </row>
    <row r="34" spans="2:3" x14ac:dyDescent="0.35">
      <c r="B34" s="50" t="s">
        <v>102</v>
      </c>
      <c r="C34" t="s">
        <v>328</v>
      </c>
    </row>
    <row r="35" spans="2:3" x14ac:dyDescent="0.35">
      <c r="B35" s="8" t="s">
        <v>88</v>
      </c>
      <c r="C35" t="s">
        <v>47</v>
      </c>
    </row>
    <row r="36" spans="2:3" x14ac:dyDescent="0.35">
      <c r="B36" s="8" t="s">
        <v>43</v>
      </c>
      <c r="C36" t="s">
        <v>47</v>
      </c>
    </row>
    <row r="37" spans="2:3" x14ac:dyDescent="0.35">
      <c r="B37" s="53" t="s">
        <v>131</v>
      </c>
      <c r="C37" t="s">
        <v>328</v>
      </c>
    </row>
    <row r="38" spans="2:3" x14ac:dyDescent="0.35">
      <c r="B38" s="8" t="s">
        <v>80</v>
      </c>
      <c r="C38" t="s">
        <v>47</v>
      </c>
    </row>
    <row r="39" spans="2:3" x14ac:dyDescent="0.35">
      <c r="B39" s="8" t="s">
        <v>76</v>
      </c>
      <c r="C39" t="s">
        <v>328</v>
      </c>
    </row>
    <row r="40" spans="2:3" x14ac:dyDescent="0.35">
      <c r="B40" s="8" t="s">
        <v>113</v>
      </c>
      <c r="C40" t="s">
        <v>328</v>
      </c>
    </row>
    <row r="41" spans="2:3" x14ac:dyDescent="0.35">
      <c r="B41" s="50" t="s">
        <v>98</v>
      </c>
      <c r="C41" t="s">
        <v>47</v>
      </c>
    </row>
    <row r="42" spans="2:3" x14ac:dyDescent="0.35">
      <c r="B42" t="s">
        <v>109</v>
      </c>
      <c r="C42" t="s">
        <v>328</v>
      </c>
    </row>
    <row r="43" spans="2:3" x14ac:dyDescent="0.35">
      <c r="B43" s="8" t="s">
        <v>75</v>
      </c>
      <c r="C43" t="s">
        <v>47</v>
      </c>
    </row>
    <row r="44" spans="2:3" x14ac:dyDescent="0.35">
      <c r="B44" s="8" t="s">
        <v>83</v>
      </c>
      <c r="C44" t="s">
        <v>328</v>
      </c>
    </row>
    <row r="45" spans="2:3" x14ac:dyDescent="0.35">
      <c r="B45" s="49" t="s">
        <v>125</v>
      </c>
      <c r="C45" t="s">
        <v>47</v>
      </c>
    </row>
    <row r="46" spans="2:3" x14ac:dyDescent="0.35">
      <c r="B46" s="8" t="s">
        <v>72</v>
      </c>
      <c r="C46" t="s">
        <v>47</v>
      </c>
    </row>
    <row r="47" spans="2:3" x14ac:dyDescent="0.35">
      <c r="B47" s="8" t="s">
        <v>82</v>
      </c>
      <c r="C47" t="s">
        <v>47</v>
      </c>
    </row>
    <row r="48" spans="2:3" x14ac:dyDescent="0.35">
      <c r="B48" t="s">
        <v>60</v>
      </c>
      <c r="C48" t="s">
        <v>47</v>
      </c>
    </row>
    <row r="49" spans="2:3" x14ac:dyDescent="0.35">
      <c r="B49" s="8" t="s">
        <v>86</v>
      </c>
      <c r="C49" t="s">
        <v>47</v>
      </c>
    </row>
    <row r="50" spans="2:3" x14ac:dyDescent="0.35">
      <c r="B50" s="8" t="s">
        <v>71</v>
      </c>
      <c r="C50" t="s">
        <v>47</v>
      </c>
    </row>
    <row r="51" spans="2:3" x14ac:dyDescent="0.35">
      <c r="B51" t="s">
        <v>110</v>
      </c>
      <c r="C51" t="s">
        <v>47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a952d1-9523-4060-be56-2c659864b053">
      <Terms xmlns="http://schemas.microsoft.com/office/infopath/2007/PartnerControls"/>
    </lcf76f155ced4ddcb4097134ff3c332f>
    <TaxCatchAll xmlns="9ee8b87a-a36f-4c82-bda6-c9b2d4d7958a" xsi:nil="true"/>
    <SharedWithUsers xmlns="9ee8b87a-a36f-4c82-bda6-c9b2d4d7958a">
      <UserInfo>
        <DisplayName/>
        <AccountId xsi:nil="true"/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541B20A6737BC448766D476FA8AFF09" ma:contentTypeVersion="14" ma:contentTypeDescription="Create a new document." ma:contentTypeScope="" ma:versionID="7932c575235464568f8b2df2558d388b">
  <xsd:schema xmlns:xsd="http://www.w3.org/2001/XMLSchema" xmlns:xs="http://www.w3.org/2001/XMLSchema" xmlns:p="http://schemas.microsoft.com/office/2006/metadata/properties" xmlns:ns2="9ee8b87a-a36f-4c82-bda6-c9b2d4d7958a" xmlns:ns3="d2a952d1-9523-4060-be56-2c659864b053" targetNamespace="http://schemas.microsoft.com/office/2006/metadata/properties" ma:root="true" ma:fieldsID="5b6e1d3bff4b5bc25d102c5a2d085c11" ns2:_="" ns3:_="">
    <xsd:import namespace="9ee8b87a-a36f-4c82-bda6-c9b2d4d7958a"/>
    <xsd:import namespace="d2a952d1-9523-4060-be56-2c659864b05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e8b87a-a36f-4c82-bda6-c9b2d4d7958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9a0bb97e-e3fe-4a8a-89a5-6d5d58a481a0}" ma:internalName="TaxCatchAll" ma:showField="CatchAllData" ma:web="9ee8b87a-a36f-4c82-bda6-c9b2d4d795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a952d1-9523-4060-be56-2c659864b0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6b278eec-cad9-4ec1-bf87-f68f02c44eb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38258A-EA5D-4B7E-89D5-BFF9B44D4AA3}">
  <ds:schemaRefs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d2a952d1-9523-4060-be56-2c659864b053"/>
    <ds:schemaRef ds:uri="9ee8b87a-a36f-4c82-bda6-c9b2d4d7958a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FFFEED7-DCA3-4EEA-9B7B-8D2D412BED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e8b87a-a36f-4c82-bda6-c9b2d4d7958a"/>
    <ds:schemaRef ds:uri="d2a952d1-9523-4060-be56-2c659864b0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DFA36FF-C5D1-4804-890B-45BC1BC272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Summary</vt:lpstr>
      <vt:lpstr>Stage 1</vt:lpstr>
      <vt:lpstr>Stage 2</vt:lpstr>
      <vt:lpstr>Stage3-5&amp;Exp</vt:lpstr>
      <vt:lpstr>List of Cost Centers</vt:lpstr>
      <vt:lpstr>Vendor List</vt:lpstr>
    </vt:vector>
  </TitlesOfParts>
  <Manager/>
  <Company>Lennar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Hunter Cook</dc:creator>
  <cp:keywords/>
  <dc:description/>
  <cp:lastModifiedBy>Peter Summerville</cp:lastModifiedBy>
  <cp:revision/>
  <dcterms:created xsi:type="dcterms:W3CDTF">2022-12-05T23:33:38Z</dcterms:created>
  <dcterms:modified xsi:type="dcterms:W3CDTF">2023-09-06T19:07:18Z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0x0101003541B20A6737BC448766D476FA8AFF09</vt:lpwstr>
  </property>
  <property fmtid="{D5CDD505-2E9C-101B-9397-08002B2CF9AE}" pid="3" name="MediaServiceImageTags">
    <vt:lpwstr/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