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Our City Our Home Prop. C Oversight Comm\Financial Projections\Comparison Documents\"/>
    </mc:Choice>
  </mc:AlternateContent>
  <xr:revisionPtr revIDLastSave="0" documentId="13_ncr:1_{09A33005-086F-44D3-A719-AF4DC9E55365}" xr6:coauthVersionLast="45" xr6:coauthVersionMax="45" xr10:uidLastSave="{00000000-0000-0000-0000-000000000000}"/>
  <bookViews>
    <workbookView xWindow="-120" yWindow="-120" windowWidth="29040" windowHeight="17640" xr2:uid="{9E09E2AE-4614-4394-9F94-67B48FF4F517}"/>
  </bookViews>
  <sheets>
    <sheet name="6.3.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0" i="2" l="1"/>
  <c r="K137" i="2"/>
  <c r="K142" i="2"/>
  <c r="K138" i="2"/>
  <c r="K139" i="2"/>
  <c r="K135" i="2"/>
  <c r="K136" i="2"/>
  <c r="K140" i="2"/>
  <c r="K141" i="2"/>
  <c r="K143" i="2"/>
  <c r="K144" i="2"/>
  <c r="K145" i="2"/>
  <c r="C177" i="2" l="1"/>
  <c r="F178" i="2"/>
  <c r="C155" i="2"/>
  <c r="F156" i="2"/>
  <c r="F123" i="2"/>
  <c r="C122" i="2"/>
  <c r="F28" i="2"/>
  <c r="C27" i="2"/>
  <c r="K184" i="2" l="1"/>
  <c r="F184" i="2"/>
  <c r="L164" i="2"/>
  <c r="L161" i="2" s="1"/>
  <c r="L168" i="2"/>
  <c r="K160" i="2"/>
  <c r="K177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F177" i="2"/>
  <c r="F175" i="2"/>
  <c r="F170" i="2"/>
  <c r="F171" i="2"/>
  <c r="F172" i="2"/>
  <c r="F173" i="2"/>
  <c r="F174" i="2"/>
  <c r="F169" i="2"/>
  <c r="F166" i="2"/>
  <c r="F165" i="2"/>
  <c r="F160" i="2"/>
  <c r="K155" i="2"/>
  <c r="K153" i="2"/>
  <c r="K152" i="2"/>
  <c r="K151" i="2"/>
  <c r="K150" i="2"/>
  <c r="K149" i="2"/>
  <c r="K148" i="2"/>
  <c r="K147" i="2"/>
  <c r="K146" i="2"/>
  <c r="K134" i="2"/>
  <c r="K133" i="2"/>
  <c r="K132" i="2"/>
  <c r="F155" i="2"/>
  <c r="F153" i="2"/>
  <c r="F151" i="2"/>
  <c r="F149" i="2"/>
  <c r="F148" i="2"/>
  <c r="F146" i="2"/>
  <c r="F134" i="2"/>
  <c r="F133" i="2"/>
  <c r="K127" i="2"/>
  <c r="F127" i="2"/>
  <c r="K90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F122" i="2"/>
  <c r="F120" i="2"/>
  <c r="F113" i="2"/>
  <c r="F121" i="2"/>
  <c r="F118" i="2"/>
  <c r="F117" i="2"/>
  <c r="F116" i="2"/>
  <c r="F115" i="2"/>
  <c r="F114" i="2"/>
  <c r="F111" i="2"/>
  <c r="F110" i="2"/>
  <c r="F109" i="2"/>
  <c r="F108" i="2"/>
  <c r="F107" i="2"/>
  <c r="F106" i="2"/>
  <c r="F105" i="2"/>
  <c r="F103" i="2"/>
  <c r="F102" i="2"/>
  <c r="F101" i="2"/>
  <c r="F100" i="2"/>
  <c r="F98" i="2"/>
  <c r="F97" i="2"/>
  <c r="F96" i="2"/>
  <c r="F95" i="2"/>
  <c r="F90" i="2"/>
  <c r="L64" i="2"/>
  <c r="L62" i="2"/>
  <c r="K73" i="2"/>
  <c r="K72" i="2"/>
  <c r="K70" i="2"/>
  <c r="K69" i="2"/>
  <c r="K68" i="2"/>
  <c r="K67" i="2"/>
  <c r="K66" i="2"/>
  <c r="K65" i="2"/>
  <c r="K64" i="2"/>
  <c r="K63" i="2"/>
  <c r="K62" i="2"/>
  <c r="K61" i="2"/>
  <c r="K60" i="2"/>
  <c r="K59" i="2"/>
  <c r="F73" i="2"/>
  <c r="F72" i="2"/>
  <c r="F70" i="2"/>
  <c r="F69" i="2"/>
  <c r="F68" i="2"/>
  <c r="F66" i="2"/>
  <c r="F65" i="2"/>
  <c r="F63" i="2"/>
  <c r="F61" i="2"/>
  <c r="F60" i="2"/>
  <c r="K53" i="2"/>
  <c r="F53" i="2"/>
  <c r="K48" i="2"/>
  <c r="K47" i="2"/>
  <c r="K46" i="2"/>
  <c r="K45" i="2"/>
  <c r="K44" i="2"/>
  <c r="K43" i="2"/>
  <c r="K42" i="2"/>
  <c r="F48" i="2"/>
  <c r="F47" i="2"/>
  <c r="F46" i="2"/>
  <c r="F44" i="2"/>
  <c r="F43" i="2"/>
  <c r="K36" i="2"/>
  <c r="F36" i="2"/>
  <c r="K31" i="2"/>
  <c r="K29" i="2"/>
  <c r="K27" i="2"/>
  <c r="K26" i="2"/>
  <c r="K25" i="2"/>
  <c r="K24" i="2"/>
  <c r="K23" i="2"/>
  <c r="K22" i="2"/>
  <c r="K21" i="2"/>
  <c r="K20" i="2"/>
  <c r="F31" i="2"/>
  <c r="F27" i="2"/>
  <c r="F26" i="2"/>
  <c r="F25" i="2"/>
  <c r="F24" i="2"/>
  <c r="F22" i="2"/>
  <c r="F21" i="2"/>
  <c r="F20" i="2"/>
  <c r="F18" i="2"/>
  <c r="K18" i="2"/>
  <c r="K17" i="2"/>
  <c r="K14" i="2"/>
  <c r="K13" i="2"/>
  <c r="K12" i="2"/>
  <c r="K6" i="2"/>
  <c r="F14" i="2"/>
  <c r="F13" i="2"/>
  <c r="F12" i="2"/>
  <c r="F6" i="2"/>
  <c r="H58" i="2" l="1"/>
  <c r="K58" i="2" s="1"/>
  <c r="H41" i="2"/>
  <c r="K41" i="2" s="1"/>
  <c r="J19" i="2"/>
  <c r="I19" i="2"/>
  <c r="H19" i="2"/>
  <c r="H11" i="2"/>
  <c r="J11" i="2"/>
  <c r="I11" i="2"/>
  <c r="J15" i="2"/>
  <c r="I15" i="2"/>
  <c r="H16" i="2"/>
  <c r="K11" i="2" l="1"/>
  <c r="H15" i="2"/>
  <c r="K15" i="2" s="1"/>
  <c r="K16" i="2"/>
  <c r="K19" i="2"/>
  <c r="E94" i="2"/>
  <c r="D94" i="2"/>
  <c r="E112" i="2"/>
  <c r="D112" i="2"/>
  <c r="D104" i="2"/>
  <c r="E104" i="2"/>
  <c r="J79" i="2" l="1"/>
  <c r="I79" i="2"/>
  <c r="H79" i="2"/>
  <c r="K79" i="2" l="1"/>
  <c r="J185" i="2"/>
  <c r="I185" i="2"/>
  <c r="H185" i="2"/>
  <c r="K185" i="2" l="1"/>
  <c r="C17" i="2"/>
  <c r="F17" i="2" s="1"/>
  <c r="C16" i="2"/>
  <c r="F16" i="2" s="1"/>
  <c r="H186" i="2" l="1"/>
  <c r="K186" i="2" s="1"/>
  <c r="H128" i="2"/>
  <c r="E59" i="2" l="1"/>
  <c r="C59" i="2"/>
  <c r="D59" i="2"/>
  <c r="C152" i="2"/>
  <c r="F59" i="2" l="1"/>
  <c r="C150" i="2"/>
  <c r="F152" i="2"/>
  <c r="L104" i="2"/>
  <c r="E150" i="2" l="1"/>
  <c r="D150" i="2"/>
  <c r="F150" i="2" s="1"/>
  <c r="G168" i="2" l="1"/>
  <c r="E168" i="2"/>
  <c r="D168" i="2"/>
  <c r="C168" i="2"/>
  <c r="D167" i="2"/>
  <c r="I161" i="2"/>
  <c r="I162" i="2" s="1"/>
  <c r="G164" i="2"/>
  <c r="E164" i="2"/>
  <c r="C164" i="2"/>
  <c r="G150" i="2"/>
  <c r="L147" i="2"/>
  <c r="G147" i="2"/>
  <c r="E147" i="2"/>
  <c r="D147" i="2"/>
  <c r="C147" i="2"/>
  <c r="L132" i="2"/>
  <c r="I128" i="2"/>
  <c r="G132" i="2"/>
  <c r="E132" i="2"/>
  <c r="D132" i="2"/>
  <c r="C132" i="2"/>
  <c r="I91" i="2"/>
  <c r="I92" i="2" s="1"/>
  <c r="H91" i="2"/>
  <c r="E119" i="2"/>
  <c r="D119" i="2"/>
  <c r="C119" i="2"/>
  <c r="C112" i="2"/>
  <c r="F112" i="2" s="1"/>
  <c r="G104" i="2"/>
  <c r="G91" i="2" s="1"/>
  <c r="C104" i="2"/>
  <c r="F104" i="2" s="1"/>
  <c r="E99" i="2"/>
  <c r="D99" i="2"/>
  <c r="C99" i="2"/>
  <c r="J91" i="2"/>
  <c r="J92" i="2" s="1"/>
  <c r="C94" i="2"/>
  <c r="F94" i="2" s="1"/>
  <c r="L91" i="2"/>
  <c r="E79" i="2"/>
  <c r="E185" i="2" s="1"/>
  <c r="D79" i="2"/>
  <c r="D185" i="2" s="1"/>
  <c r="C79" i="2"/>
  <c r="L68" i="2"/>
  <c r="L67" i="2" s="1"/>
  <c r="L55" i="2" s="1"/>
  <c r="G67" i="2"/>
  <c r="E67" i="2"/>
  <c r="D67" i="2"/>
  <c r="C67" i="2"/>
  <c r="G64" i="2"/>
  <c r="E64" i="2"/>
  <c r="D64" i="2"/>
  <c r="C64" i="2"/>
  <c r="G62" i="2"/>
  <c r="E62" i="2"/>
  <c r="D62" i="2"/>
  <c r="C62" i="2"/>
  <c r="D58" i="2"/>
  <c r="C58" i="2"/>
  <c r="E58" i="2"/>
  <c r="L38" i="2"/>
  <c r="G45" i="2"/>
  <c r="G38" i="2" s="1"/>
  <c r="E45" i="2"/>
  <c r="D45" i="2"/>
  <c r="C45" i="2"/>
  <c r="C42" i="2"/>
  <c r="E41" i="2"/>
  <c r="D41" i="2"/>
  <c r="C29" i="2"/>
  <c r="L23" i="2"/>
  <c r="G23" i="2"/>
  <c r="E23" i="2"/>
  <c r="D23" i="2"/>
  <c r="C23" i="2"/>
  <c r="L21" i="2"/>
  <c r="L20" i="2"/>
  <c r="G19" i="2"/>
  <c r="E19" i="2"/>
  <c r="D19" i="2"/>
  <c r="C19" i="2"/>
  <c r="C15" i="2"/>
  <c r="E15" i="2"/>
  <c r="D15" i="2"/>
  <c r="E11" i="2"/>
  <c r="D11" i="2"/>
  <c r="L11" i="2"/>
  <c r="G11" i="2"/>
  <c r="C11" i="2"/>
  <c r="L6" i="2"/>
  <c r="L128" i="2" l="1"/>
  <c r="F64" i="2"/>
  <c r="G55" i="2"/>
  <c r="F99" i="2"/>
  <c r="F11" i="2"/>
  <c r="F19" i="2"/>
  <c r="F119" i="2"/>
  <c r="F58" i="2"/>
  <c r="F132" i="2"/>
  <c r="C186" i="2"/>
  <c r="F186" i="2" s="1"/>
  <c r="F29" i="2"/>
  <c r="H92" i="2"/>
  <c r="K92" i="2" s="1"/>
  <c r="K91" i="2"/>
  <c r="F147" i="2"/>
  <c r="F79" i="2"/>
  <c r="I129" i="2"/>
  <c r="F23" i="2"/>
  <c r="C41" i="2"/>
  <c r="F41" i="2" s="1"/>
  <c r="F42" i="2"/>
  <c r="D164" i="2"/>
  <c r="D161" i="2" s="1"/>
  <c r="D162" i="2" s="1"/>
  <c r="F167" i="2"/>
  <c r="F15" i="2"/>
  <c r="F45" i="2"/>
  <c r="F62" i="2"/>
  <c r="F67" i="2"/>
  <c r="F168" i="2"/>
  <c r="E161" i="2"/>
  <c r="E162" i="2" s="1"/>
  <c r="G161" i="2"/>
  <c r="E85" i="2"/>
  <c r="D128" i="2"/>
  <c r="D129" i="2" s="1"/>
  <c r="E128" i="2"/>
  <c r="E129" i="2" s="1"/>
  <c r="C128" i="2"/>
  <c r="D55" i="2"/>
  <c r="D56" i="2" s="1"/>
  <c r="E55" i="2"/>
  <c r="E56" i="2" s="1"/>
  <c r="D38" i="2"/>
  <c r="D39" i="2" s="1"/>
  <c r="C85" i="2"/>
  <c r="D85" i="2"/>
  <c r="E91" i="2"/>
  <c r="E92" i="2" s="1"/>
  <c r="J161" i="2"/>
  <c r="J162" i="2" s="1"/>
  <c r="E38" i="2"/>
  <c r="E39" i="2" s="1"/>
  <c r="J8" i="2"/>
  <c r="C8" i="2"/>
  <c r="D8" i="2"/>
  <c r="D9" i="2" s="1"/>
  <c r="E8" i="2"/>
  <c r="E84" i="2"/>
  <c r="H161" i="2"/>
  <c r="G8" i="2"/>
  <c r="H38" i="2"/>
  <c r="I84" i="2"/>
  <c r="C91" i="2"/>
  <c r="G128" i="2"/>
  <c r="I38" i="2"/>
  <c r="I39" i="2" s="1"/>
  <c r="J84" i="2"/>
  <c r="I8" i="2"/>
  <c r="J38" i="2"/>
  <c r="J39" i="2" s="1"/>
  <c r="C55" i="2"/>
  <c r="C84" i="2"/>
  <c r="C185" i="2"/>
  <c r="F185" i="2" s="1"/>
  <c r="D84" i="2"/>
  <c r="J128" i="2"/>
  <c r="J129" i="2" s="1"/>
  <c r="C161" i="2"/>
  <c r="H85" i="2"/>
  <c r="L19" i="2"/>
  <c r="L8" i="2" s="1"/>
  <c r="L81" i="2" s="1"/>
  <c r="L188" i="2" s="1"/>
  <c r="H8" i="2"/>
  <c r="I55" i="2"/>
  <c r="I56" i="2" s="1"/>
  <c r="J85" i="2"/>
  <c r="I85" i="2"/>
  <c r="J55" i="2"/>
  <c r="J56" i="2" s="1"/>
  <c r="D91" i="2"/>
  <c r="D92" i="2" s="1"/>
  <c r="H129" i="2"/>
  <c r="H84" i="2"/>
  <c r="K129" i="2" l="1"/>
  <c r="C38" i="2"/>
  <c r="C81" i="2" s="1"/>
  <c r="C188" i="2" s="1"/>
  <c r="K38" i="2"/>
  <c r="K128" i="2"/>
  <c r="K8" i="2"/>
  <c r="F8" i="2"/>
  <c r="F164" i="2"/>
  <c r="C162" i="2"/>
  <c r="F162" i="2" s="1"/>
  <c r="F161" i="2"/>
  <c r="H162" i="2"/>
  <c r="K162" i="2" s="1"/>
  <c r="K161" i="2"/>
  <c r="C92" i="2"/>
  <c r="F92" i="2" s="1"/>
  <c r="F91" i="2"/>
  <c r="F55" i="2"/>
  <c r="C129" i="2"/>
  <c r="F128" i="2"/>
  <c r="E86" i="2"/>
  <c r="D86" i="2"/>
  <c r="G81" i="2"/>
  <c r="G188" i="2" s="1"/>
  <c r="C86" i="2"/>
  <c r="I9" i="2"/>
  <c r="I188" i="2"/>
  <c r="J9" i="2"/>
  <c r="J188" i="2"/>
  <c r="K130" i="2"/>
  <c r="E81" i="2"/>
  <c r="E188" i="2" s="1"/>
  <c r="H55" i="2"/>
  <c r="K55" i="2" s="1"/>
  <c r="E9" i="2"/>
  <c r="D81" i="2"/>
  <c r="D188" i="2" s="1"/>
  <c r="I86" i="2"/>
  <c r="J86" i="2"/>
  <c r="H86" i="2"/>
  <c r="I81" i="2"/>
  <c r="I82" i="2" s="1"/>
  <c r="J81" i="2"/>
  <c r="J82" i="2" s="1"/>
  <c r="F38" i="2" l="1"/>
  <c r="C130" i="2"/>
  <c r="F129" i="2"/>
  <c r="C189" i="2"/>
  <c r="F81" i="2"/>
  <c r="H7" i="2"/>
  <c r="K7" i="2" s="1"/>
  <c r="H54" i="2"/>
  <c r="H37" i="2"/>
  <c r="H81" i="2"/>
  <c r="K81" i="2" s="1"/>
  <c r="I189" i="2"/>
  <c r="I187" i="2"/>
  <c r="J187" i="2"/>
  <c r="J189" i="2"/>
  <c r="D187" i="2"/>
  <c r="D189" i="2"/>
  <c r="E187" i="2"/>
  <c r="E189" i="2"/>
  <c r="E82" i="2"/>
  <c r="H188" i="2"/>
  <c r="K188" i="2" s="1"/>
  <c r="C82" i="2"/>
  <c r="D82" i="2"/>
  <c r="F189" i="2" l="1"/>
  <c r="C187" i="2"/>
  <c r="F187" i="2" s="1"/>
  <c r="F188" i="2"/>
  <c r="H56" i="2"/>
  <c r="K56" i="2" s="1"/>
  <c r="K54" i="2"/>
  <c r="F82" i="2"/>
  <c r="H39" i="2"/>
  <c r="K39" i="2" s="1"/>
  <c r="K37" i="2"/>
  <c r="F130" i="2"/>
  <c r="C54" i="2"/>
  <c r="C37" i="2"/>
  <c r="C7" i="2"/>
  <c r="H80" i="2"/>
  <c r="H9" i="2"/>
  <c r="K9" i="2" s="1"/>
  <c r="H187" i="2"/>
  <c r="K187" i="2" s="1"/>
  <c r="H189" i="2"/>
  <c r="K189" i="2" s="1"/>
  <c r="H82" i="2" l="1"/>
  <c r="K82" i="2" s="1"/>
  <c r="K80" i="2"/>
  <c r="F7" i="2"/>
  <c r="C9" i="2"/>
  <c r="F9" i="2" s="1"/>
  <c r="C80" i="2"/>
  <c r="F80" i="2" s="1"/>
  <c r="F37" i="2"/>
  <c r="C39" i="2"/>
  <c r="F39" i="2" s="1"/>
  <c r="F54" i="2"/>
  <c r="C56" i="2"/>
  <c r="F56" i="2" s="1"/>
</calcChain>
</file>

<file path=xl/sharedStrings.xml><?xml version="1.0" encoding="utf-8"?>
<sst xmlns="http://schemas.openxmlformats.org/spreadsheetml/2006/main" count="457" uniqueCount="207">
  <si>
    <t>Permanent Housing - General</t>
  </si>
  <si>
    <t>FY20-21 Balance &amp; Proposed Uses</t>
  </si>
  <si>
    <t>FY21-22 Balance &amp; Proposed Uses</t>
  </si>
  <si>
    <t>FY22-23 Balance &amp; Proposed Uses</t>
  </si>
  <si>
    <t>New Beds/ Units / Exits</t>
  </si>
  <si>
    <t>Investment Type</t>
  </si>
  <si>
    <t>Notes</t>
  </si>
  <si>
    <t>Estimated Balance</t>
  </si>
  <si>
    <t>Total Investments</t>
  </si>
  <si>
    <t>Estimated Balance after Investments</t>
  </si>
  <si>
    <t>Funding Priorties</t>
  </si>
  <si>
    <t>New Pipeline PSH</t>
  </si>
  <si>
    <t>12/20 release</t>
  </si>
  <si>
    <t>New HomeKey Projects: Operating</t>
  </si>
  <si>
    <t>Operating PSH</t>
  </si>
  <si>
    <t xml:space="preserve">Diva and Granada </t>
  </si>
  <si>
    <t>New HomeKey Projects: Acquisition</t>
  </si>
  <si>
    <t>Auqisition PSH</t>
  </si>
  <si>
    <t>Diva and Granada, smoothed across years to manage fund balance</t>
  </si>
  <si>
    <t>Other new PSH Projects funded with one-time sources (ongoing)</t>
  </si>
  <si>
    <t>Future PSH Aquisition &amp; Operating</t>
  </si>
  <si>
    <t>TBD</t>
  </si>
  <si>
    <t>Future Adult PSH Acquisition</t>
  </si>
  <si>
    <t>Aquisition PSH</t>
  </si>
  <si>
    <t>Future Adult PSH Operating</t>
  </si>
  <si>
    <t>Flex Pool</t>
  </si>
  <si>
    <t>Flex Pool PSH (Adult)</t>
  </si>
  <si>
    <t>Ongoing Subsidies &amp; Supports</t>
  </si>
  <si>
    <t>75 Adults, 225 Seniors, 25 Bayview</t>
  </si>
  <si>
    <t>Supporting sheltered and unsheltered individuals</t>
  </si>
  <si>
    <t>Medium-Term Subsidies</t>
  </si>
  <si>
    <t>Medium-Term Subsidies and Workforce</t>
  </si>
  <si>
    <t>Medium Term Subsidies</t>
  </si>
  <si>
    <t>Includes subsidies and workforce programming (FY21 only)</t>
  </si>
  <si>
    <t>Priority population: justice involved adults</t>
  </si>
  <si>
    <t>Advance repayments</t>
  </si>
  <si>
    <t>-</t>
  </si>
  <si>
    <t>Housing Frontline Worker Pay Bonus</t>
  </si>
  <si>
    <t>HSH Operating</t>
  </si>
  <si>
    <t>Permanent Housing - Families</t>
  </si>
  <si>
    <t>Future Family PSH Acquisition</t>
  </si>
  <si>
    <t>Future Family PSH Operating</t>
  </si>
  <si>
    <t>Flex Pool (Family)</t>
  </si>
  <si>
    <t>Permanent Housing - TAY</t>
  </si>
  <si>
    <t>Funding Priorities</t>
  </si>
  <si>
    <t>Future TAY PSH Acquisition</t>
  </si>
  <si>
    <t>Flex Pool (TAY)</t>
  </si>
  <si>
    <t xml:space="preserve">Medium-Term Subsidies </t>
  </si>
  <si>
    <t>TAY Rapid Rehousing Expansion</t>
  </si>
  <si>
    <t>Other Housing</t>
  </si>
  <si>
    <t>Non-Time-Limited Bridge Housing</t>
  </si>
  <si>
    <t>Permanent Housing Summary</t>
  </si>
  <si>
    <t>Total Estimated Fund Balance</t>
  </si>
  <si>
    <t>Total Estimated Remaining Balance</t>
  </si>
  <si>
    <t>Cap for Housing &lt;5 Years</t>
  </si>
  <si>
    <t>Housing &lt; 5 years: 12% Cap</t>
  </si>
  <si>
    <t>Housing &lt; 5 years: Total Investments</t>
  </si>
  <si>
    <t>Housing &lt; 5 years: Remaining</t>
  </si>
  <si>
    <t>Mental Health Services</t>
  </si>
  <si>
    <t>Services</t>
  </si>
  <si>
    <t>Assertive Outreach Services</t>
  </si>
  <si>
    <t>Overdose Prevention Services</t>
  </si>
  <si>
    <t>Case Management Services</t>
  </si>
  <si>
    <t>Expand Intensive Case Management</t>
  </si>
  <si>
    <t>Behavioral &amp; Clinical Health Services in PSH</t>
  </si>
  <si>
    <t>Treatment Beds</t>
  </si>
  <si>
    <t>Site Acquisition for New Treatment Beds</t>
  </si>
  <si>
    <t>Acquisition</t>
  </si>
  <si>
    <t>Increase Treatment Bed Capacity</t>
  </si>
  <si>
    <t>Beds</t>
  </si>
  <si>
    <t>Support the acqusition process for 2-3 sites</t>
  </si>
  <si>
    <t>Drop-In Services</t>
  </si>
  <si>
    <t>Mental Health Service Center</t>
  </si>
  <si>
    <t>Operating and Implementation Costs</t>
  </si>
  <si>
    <t>Operating</t>
  </si>
  <si>
    <t>Mixed Uses</t>
  </si>
  <si>
    <t>Homelessness Prevention</t>
  </si>
  <si>
    <t>Problem Solving</t>
  </si>
  <si>
    <t>Problem Solving Plus Rental Assistance</t>
  </si>
  <si>
    <t>Rental Assistance</t>
  </si>
  <si>
    <t>Legal and Support Services to Secure Disability Income</t>
  </si>
  <si>
    <t>Homeless Prevention &amp; Eviction Prevention</t>
  </si>
  <si>
    <t>Homeless Prevention Financial Assistance &amp; Services</t>
  </si>
  <si>
    <t>Eviction Prevention &amp; Housing Stabilization</t>
  </si>
  <si>
    <t>Shallow Subsidies for PSH Residents</t>
  </si>
  <si>
    <t>Ongoing Rental Subsidies</t>
  </si>
  <si>
    <t xml:space="preserve">Reduce rental cost burrden for ~2800 households in PSH paying more than 30% of their income toward rent and putting them at risk of housing instablity. Ongoing </t>
  </si>
  <si>
    <t>Prevention Providers Frontline Pay Bonus</t>
  </si>
  <si>
    <t>Shelter &amp; Hygiene</t>
  </si>
  <si>
    <t>COVID Response</t>
  </si>
  <si>
    <t>COVID-19 Shelter: SIP (FY21), Safe Sleep, Trailer</t>
  </si>
  <si>
    <t>Shelter Beds</t>
  </si>
  <si>
    <t>COVID-19 Shelter: Trailer Program</t>
  </si>
  <si>
    <t>Maintains 120 trailers for 2 years</t>
  </si>
  <si>
    <t>COVID-19 Shelter Costs: Safe Sleep</t>
  </si>
  <si>
    <t>Continues Safe Sleep in FY22 at slightly lower capacity, and further reduces capacity in FY23 as the COVID emergency allows other shelter options to reactivate.</t>
  </si>
  <si>
    <t>New Shelter Programs</t>
  </si>
  <si>
    <t>Navigation Center Operations</t>
  </si>
  <si>
    <t>Safe Parking (Bayview)</t>
  </si>
  <si>
    <t>Drop-In Shelter For Families (Respite)</t>
  </si>
  <si>
    <t>Adds staffing to support an existing family drop-in shelter</t>
  </si>
  <si>
    <t>Domestic Violence Hotel Vouchers</t>
  </si>
  <si>
    <t>Hotel Vouchers</t>
  </si>
  <si>
    <t>Pregnant People and Family Hotel Vouchers</t>
  </si>
  <si>
    <t>Shelter/Hygiene Frontline Worker Pay Bonus</t>
  </si>
  <si>
    <t>Administration and Totals</t>
  </si>
  <si>
    <t>Administration</t>
  </si>
  <si>
    <t>Total Fund Balance</t>
  </si>
  <si>
    <t>Remainining Fund Balance</t>
  </si>
  <si>
    <t>Notes:</t>
  </si>
  <si>
    <t>Balance includes appropriated and unappropriated budget amounts as of March 2021 projection report</t>
  </si>
  <si>
    <t>Street Crisis Response Outreach Teams (SCRT)</t>
  </si>
  <si>
    <t xml:space="preserve">TAY Care Coordination </t>
  </si>
  <si>
    <t>TAY Residential Treatment Beds</t>
  </si>
  <si>
    <t>Trangender Mental Health Services</t>
  </si>
  <si>
    <t>TAY Mental Health Services</t>
  </si>
  <si>
    <t>Navigation Center for Justice Involved Adults</t>
  </si>
  <si>
    <t>Ongoing operating of 287 new units of housing: Abigail, Cadillac, 270 Turk, Scattered Site</t>
  </si>
  <si>
    <t>Future TAY PSH Operating</t>
  </si>
  <si>
    <t>Artmar</t>
  </si>
  <si>
    <t>Operations and services for 25 youth with behavioral health and other challenges, assumes $44k per unit</t>
  </si>
  <si>
    <t xml:space="preserve">Expand case management capacity by 865 cases </t>
  </si>
  <si>
    <t>1,500 clients annually</t>
  </si>
  <si>
    <t xml:space="preserve">Expand case management capacity by 85 cases </t>
  </si>
  <si>
    <t>2,000 service calls annually across existing/new PSH to capacity build/train PSH staff, and provide linkage to case management; 600 unduplicated clients/ year receive on-site behavioral health and/or physical health services</t>
  </si>
  <si>
    <t>Support the acqusition process</t>
  </si>
  <si>
    <t xml:space="preserve">15 urgent care beds, up to 72-hour stay </t>
  </si>
  <si>
    <t>Model and outcomes TBD with community input</t>
  </si>
  <si>
    <t>Est. New Beds/ Units / Exits</t>
  </si>
  <si>
    <t>Care Coordination Team (previously within SCRT item)</t>
  </si>
  <si>
    <t>&gt;2,500 touchpoints depending on program model</t>
  </si>
  <si>
    <t xml:space="preserve">Operating and Implementation </t>
  </si>
  <si>
    <t>Mental Health Service Center 24/7</t>
  </si>
  <si>
    <t>One-Time Fund Balance Transfer</t>
  </si>
  <si>
    <t>Transfer balance from Prevention funds, 55%</t>
  </si>
  <si>
    <t>Transfer from Prevention funds, 20%</t>
  </si>
  <si>
    <t>Transfer from Prevention funds, 25%</t>
  </si>
  <si>
    <t>Future Adult PSH Acquisition - Prevention Transfer</t>
  </si>
  <si>
    <t>Transfer budget does not include operating costs for associated units</t>
  </si>
  <si>
    <t>75 Adults, 375 Seniors, 200 Tipping Point</t>
  </si>
  <si>
    <t>Urgent Care &amp; Crisis Diversion Facility (previously within SCRT item)</t>
  </si>
  <si>
    <t>Street Medicine Behavioral Health Expansion</t>
  </si>
  <si>
    <t>200 unduplicated clients</t>
  </si>
  <si>
    <t>2,500 touchpoints, Expanded Access to Assessment, Evaluation and Pharmacy</t>
  </si>
  <si>
    <t>132 beds, Estimations from Mental Health Bed Needs Assessment.</t>
  </si>
  <si>
    <t>3,450 touchpoints</t>
  </si>
  <si>
    <t>Support for PSH Residents</t>
  </si>
  <si>
    <t>Enhanced Clinical Services in PSH</t>
  </si>
  <si>
    <t>New Co-Op Housing</t>
  </si>
  <si>
    <t>OCOH added one new co-op site for 6 clients</t>
  </si>
  <si>
    <t>Enhancing Provider Capacity for On-Site Behavioral Health</t>
  </si>
  <si>
    <t>OCOH enhances behavioral health services in shelters and drop-in centers</t>
  </si>
  <si>
    <t>New Harm Reduction Therapy Center</t>
  </si>
  <si>
    <t>OCOH adds new drop-in program for medical, behavioral and other services</t>
  </si>
  <si>
    <t>DPH program to provide clinical services in existing PSH using one-time funds; OCOH reduces FY22 services by $2.7m</t>
  </si>
  <si>
    <t>One-Time Transfer To Housing</t>
  </si>
  <si>
    <t>1-time transfer of unprogrammed balance from Prevention to Housing</t>
  </si>
  <si>
    <t>Total Previous Investments</t>
  </si>
  <si>
    <t>Total New Investments</t>
  </si>
  <si>
    <t>Transit Services</t>
  </si>
  <si>
    <t>Transit to and from several programs targeting homeless clients, including Drug Sobering &amp; MAP</t>
  </si>
  <si>
    <t>Mayor's June 1, 2021 Budget compared to OCOH Committee Recommendations Approved May 18, 2021</t>
  </si>
  <si>
    <t xml:space="preserve">Our City, Our Home Fund: Projected Balances and Proposed Investment Plans </t>
  </si>
  <si>
    <t>MAYOR'S BUDGET - JUNE 1, 2021</t>
  </si>
  <si>
    <t>OCOH PROPOSALS - APPROVED MAY 18, 2021</t>
  </si>
  <si>
    <t>Total (FY20-23)</t>
  </si>
  <si>
    <t>MYR estimates purchasing or developing 175-250 units of family housing with $100m in acquisition funds. Range based on development vs. acquisition and larger-sized units needed. Includes one-time transfer from Prevention</t>
  </si>
  <si>
    <t xml:space="preserve">OCOH proposes a significantly higher subsidy amount for youth. MYR proposes a flexible approach that allows for higher subsidies but offers a range based on client need, serving 80-150 youth. </t>
  </si>
  <si>
    <t>MYR estimates purchasing 160-260 units of TAY housing with $80m in acquisition funds; includes one-time transfer from Prevention</t>
  </si>
  <si>
    <t>OCOH proposes reduced fund balance to allocate higher Administration funding</t>
  </si>
  <si>
    <t>OCOH expanded MAT beds by 10; MYR replaced 10 RSD beds with 10 MAP beds and 6 co-op beds to better align</t>
  </si>
  <si>
    <t>10,000 people served annually by 6 (OCOH) or 7 (MYR) teams</t>
  </si>
  <si>
    <t xml:space="preserve">Supports 498-553 Navigation Center beds providing safe shelter and services for people living unsheltered, supports a much needed full service shelter option in the Bayview and the first Navigation Center for TAY, plus expansion at Division Circle. </t>
  </si>
  <si>
    <t>Funds case management services at a proposed Adult Probation program for justice-involved adults</t>
  </si>
  <si>
    <t xml:space="preserve">Mayor's Budget (MYR) assumes administrative costs of $2.5 million in FY22 and FY23. The OCOH proposals assume administrative costs of $3.25 million in FY22 and $3.5 million in FY23. Increased Administration costs in OCOH proposal reduces fund balance available in each programmatic category. </t>
  </si>
  <si>
    <t xml:space="preserve">OCOH Ordinance mandates a cap of 12% of total housing expenditure for short-term housing (&lt;5 years). </t>
  </si>
  <si>
    <t>"12/20 Release" refers to expenditures approved for release of reserve by BOS 12/16/20. These lines also include ongoing costs for the services funded in the release through FY21-22 and FY22-23</t>
  </si>
  <si>
    <t>MYR and BOS appropriated this amount in FY20-21; OCOH has not reviewed or made recommendations about these prior year uses of the fund</t>
  </si>
  <si>
    <t xml:space="preserve">Repayment of General Fund for prior year advances </t>
  </si>
  <si>
    <t>Problem Solving and Related Services for Adults</t>
  </si>
  <si>
    <t>Possible interventions: Problem Solving, Diversion, "Rapid Exit," Shallow Subsidy; assumes 266 - 4000 clients served</t>
  </si>
  <si>
    <t>Problem Solving and Related Services for Justice Involved Adults</t>
  </si>
  <si>
    <t>Possible interventions: Problem Solving, Diversion, "Rapid Exit," Shallow Subsidy; assumes 133- 2000 clients served</t>
  </si>
  <si>
    <t>Eviction Prevention and Housing Stabilization for Justic Involved Women with Children</t>
  </si>
  <si>
    <t>11-12 families served</t>
  </si>
  <si>
    <t>Target Population: SIP hotel guests; assumes 125-2000 clients served</t>
  </si>
  <si>
    <t>Problem Solving Plus Rental Assistance for Adults</t>
  </si>
  <si>
    <t>Flexible Workforce Strategies for Adults</t>
  </si>
  <si>
    <t>Possible interventions: job readiness, training, incentives, stipends, earn and learn, barrier removal; assumes 400-6000 clients served</t>
  </si>
  <si>
    <t>Problem Solving and Related Services for Families</t>
  </si>
  <si>
    <t>Possible interventions: Problem Solving, Diversion, "Rapid Exit," Shallow Subsidy; assumes 400-9000 individuals served</t>
  </si>
  <si>
    <t>Flexible Workforce Strategies for Families</t>
  </si>
  <si>
    <t>Possible interventions: job readiness, training, incentives, stipends, earn and learn, barrier removal; assumes 265-4000 clients served</t>
  </si>
  <si>
    <t>Possible interventions: Problem Solving, Diversion, "Rapid Exit," Shallow Subsidy; assumes 265-4000 clients served</t>
  </si>
  <si>
    <t>Problem Solving and Related Services for Youth</t>
  </si>
  <si>
    <t>Problem Solving Direct Cash Transfers for Youth</t>
  </si>
  <si>
    <t>Direct cash transfers up to $15k per household</t>
  </si>
  <si>
    <t>Problem Solving and Related Services for Veterans</t>
  </si>
  <si>
    <t>Possible interventions: Problem Solving, Diversion, "Rapid Exit," Shallow Subsidy; assumes minimum 416 served</t>
  </si>
  <si>
    <t>Workforce Support</t>
  </si>
  <si>
    <t>Eviction Prevention</t>
  </si>
  <si>
    <t>Flexible Workforce Strategies for Youth</t>
  </si>
  <si>
    <t>Possible interventions: job readiness, training, incentives, stipends, earn and learn, barrier removal; assumes 133-2000 clients served</t>
  </si>
  <si>
    <t xml:space="preserve">The Mayor and Board appropriated $196m in FY20-21 for repayment of General Fund advances to OCOH in three prior fiscal years. These costs have been assumed in the FY20-21 budget, not the proposed FY21-23 budget to which these recommendations apply.  These appropriations have not been reviewed by the full committee. </t>
  </si>
  <si>
    <t>Problem Solving Services and Flexible Workforce Funding</t>
  </si>
  <si>
    <t>Prority Populations: adults, justice involved adults, justice-involved women with children, veterans, youth and families, serving 1000-1500 depending on grant size; Possible interventions: problem solving, diversion, shallow subsidies, eviction prevention, flexible workforce programs, etc.</t>
  </si>
  <si>
    <t>OCOH Committee recommends 100 slots for SRO families. Mayor's budget assumes all subsides will be administered through Coordinated Entry.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</si>
</sst>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.0_);_(&quot;$&quot;* \(#,##0.0\);_(&quot;$&quot;* &quot;-&quot;?_);_(@_)"/>
    <numFmt numFmtId="166" formatCode="_(&quot;$&quot;* #,##0.0000_);_(&quot;$&quot;* \(#,##0.0000\);_(&quot;$&quot;* &quot;-&quot;?_);_(@_)"/>
    <numFmt numFmtId="167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9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wrapText="1"/>
    </xf>
    <xf numFmtId="15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3" fillId="2" borderId="4" xfId="1" applyNumberFormat="1" applyFont="1" applyFill="1" applyBorder="1"/>
    <xf numFmtId="164" fontId="3" fillId="2" borderId="0" xfId="1" applyNumberFormat="1" applyFont="1" applyFill="1" applyBorder="1"/>
    <xf numFmtId="0" fontId="3" fillId="2" borderId="5" xfId="0" applyFont="1" applyFill="1" applyBorder="1" applyAlignment="1">
      <alignment horizontal="center" wrapText="1"/>
    </xf>
    <xf numFmtId="164" fontId="3" fillId="2" borderId="4" xfId="0" applyNumberFormat="1" applyFont="1" applyFill="1" applyBorder="1" applyAlignment="1">
      <alignment horizontal="center" wrapText="1"/>
    </xf>
    <xf numFmtId="164" fontId="3" fillId="2" borderId="5" xfId="0" applyNumberFormat="1" applyFont="1" applyFill="1" applyBorder="1" applyAlignment="1">
      <alignment horizontal="center" wrapText="1"/>
    </xf>
    <xf numFmtId="3" fontId="3" fillId="3" borderId="5" xfId="0" applyNumberFormat="1" applyFont="1" applyFill="1" applyBorder="1" applyAlignment="1">
      <alignment horizontal="center" wrapText="1"/>
    </xf>
    <xf numFmtId="165" fontId="3" fillId="3" borderId="4" xfId="0" applyNumberFormat="1" applyFont="1" applyFill="1" applyBorder="1" applyAlignment="1">
      <alignment horizontal="center" wrapText="1"/>
    </xf>
    <xf numFmtId="165" fontId="3" fillId="3" borderId="5" xfId="0" applyNumberFormat="1" applyFont="1" applyFill="1" applyBorder="1" applyAlignment="1">
      <alignment horizontal="center" wrapText="1"/>
    </xf>
    <xf numFmtId="3" fontId="0" fillId="0" borderId="0" xfId="0" applyNumberFormat="1"/>
    <xf numFmtId="0" fontId="3" fillId="5" borderId="6" xfId="0" applyFont="1" applyFill="1" applyBorder="1" applyAlignment="1">
      <alignment wrapText="1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164" fontId="0" fillId="0" borderId="4" xfId="1" applyNumberFormat="1" applyFont="1" applyBorder="1"/>
    <xf numFmtId="164" fontId="0" fillId="0" borderId="0" xfId="1" applyNumberFormat="1" applyFont="1" applyBorder="1"/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4" fontId="9" fillId="6" borderId="4" xfId="1" applyNumberFormat="1" applyFont="1" applyFill="1" applyBorder="1" applyAlignment="1">
      <alignment horizontal="left"/>
    </xf>
    <xf numFmtId="164" fontId="9" fillId="6" borderId="0" xfId="1" applyNumberFormat="1" applyFont="1" applyFill="1" applyBorder="1" applyAlignment="1">
      <alignment horizontal="left"/>
    </xf>
    <xf numFmtId="1" fontId="9" fillId="6" borderId="5" xfId="1" applyNumberFormat="1" applyFont="1" applyFill="1" applyBorder="1" applyAlignment="1">
      <alignment horizontal="center"/>
    </xf>
    <xf numFmtId="164" fontId="12" fillId="0" borderId="4" xfId="1" applyNumberFormat="1" applyFont="1" applyBorder="1" applyAlignment="1">
      <alignment horizontal="left"/>
    </xf>
    <xf numFmtId="164" fontId="12" fillId="0" borderId="4" xfId="0" applyNumberFormat="1" applyFont="1" applyBorder="1" applyAlignment="1">
      <alignment horizontal="center" wrapText="1"/>
    </xf>
    <xf numFmtId="164" fontId="0" fillId="0" borderId="4" xfId="1" applyNumberFormat="1" applyFont="1" applyBorder="1" applyAlignment="1">
      <alignment horizontal="left"/>
    </xf>
    <xf numFmtId="164" fontId="0" fillId="0" borderId="0" xfId="1" applyNumberFormat="1" applyFont="1" applyFill="1" applyBorder="1" applyAlignment="1">
      <alignment horizontal="left"/>
    </xf>
    <xf numFmtId="164" fontId="0" fillId="0" borderId="4" xfId="0" applyNumberFormat="1" applyBorder="1" applyAlignment="1">
      <alignment horizontal="center" wrapText="1"/>
    </xf>
    <xf numFmtId="164" fontId="0" fillId="0" borderId="0" xfId="1" applyNumberFormat="1" applyFont="1" applyBorder="1" applyAlignment="1">
      <alignment horizontal="left"/>
    </xf>
    <xf numFmtId="164" fontId="3" fillId="6" borderId="4" xfId="1" applyNumberFormat="1" applyFont="1" applyFill="1" applyBorder="1" applyAlignment="1">
      <alignment horizontal="left"/>
    </xf>
    <xf numFmtId="0" fontId="3" fillId="6" borderId="5" xfId="0" applyFont="1" applyFill="1" applyBorder="1" applyAlignment="1">
      <alignment horizontal="center" wrapText="1"/>
    </xf>
    <xf numFmtId="164" fontId="3" fillId="6" borderId="4" xfId="0" applyNumberFormat="1" applyFont="1" applyFill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164" fontId="13" fillId="0" borderId="4" xfId="0" applyNumberFormat="1" applyFont="1" applyBorder="1" applyAlignment="1">
      <alignment horizontal="center" wrapText="1"/>
    </xf>
    <xf numFmtId="164" fontId="16" fillId="0" borderId="4" xfId="1" applyNumberFormat="1" applyFont="1" applyBorder="1" applyAlignment="1">
      <alignment horizontal="left"/>
    </xf>
    <xf numFmtId="164" fontId="16" fillId="0" borderId="0" xfId="1" applyNumberFormat="1" applyFont="1" applyFill="1" applyBorder="1" applyAlignment="1">
      <alignment horizontal="left"/>
    </xf>
    <xf numFmtId="164" fontId="3" fillId="6" borderId="0" xfId="1" applyNumberFormat="1" applyFont="1" applyFill="1" applyBorder="1" applyAlignment="1">
      <alignment horizontal="left"/>
    </xf>
    <xf numFmtId="1" fontId="3" fillId="6" borderId="5" xfId="1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164" fontId="13" fillId="0" borderId="4" xfId="1" applyNumberFormat="1" applyFont="1" applyBorder="1" applyAlignment="1">
      <alignment horizontal="left"/>
    </xf>
    <xf numFmtId="164" fontId="13" fillId="0" borderId="0" xfId="1" applyNumberFormat="1" applyFont="1" applyFill="1" applyBorder="1" applyAlignment="1">
      <alignment horizontal="left"/>
    </xf>
    <xf numFmtId="0" fontId="0" fillId="0" borderId="9" xfId="0" applyBorder="1" applyAlignment="1">
      <alignment horizontal="left" wrapText="1"/>
    </xf>
    <xf numFmtId="0" fontId="13" fillId="0" borderId="5" xfId="0" applyFont="1" applyBorder="1" applyAlignment="1">
      <alignment horizontal="center" wrapText="1"/>
    </xf>
    <xf numFmtId="164" fontId="18" fillId="6" borderId="4" xfId="1" applyNumberFormat="1" applyFont="1" applyFill="1" applyBorder="1" applyAlignment="1">
      <alignment horizontal="left"/>
    </xf>
    <xf numFmtId="164" fontId="18" fillId="6" borderId="0" xfId="1" applyNumberFormat="1" applyFont="1" applyFill="1" applyBorder="1" applyAlignment="1">
      <alignment horizontal="left"/>
    </xf>
    <xf numFmtId="1" fontId="18" fillId="6" borderId="5" xfId="1" applyNumberFormat="1" applyFont="1" applyFill="1" applyBorder="1" applyAlignment="1">
      <alignment horizontal="center"/>
    </xf>
    <xf numFmtId="164" fontId="19" fillId="6" borderId="4" xfId="1" applyNumberFormat="1" applyFont="1" applyFill="1" applyBorder="1" applyAlignment="1">
      <alignment horizontal="left"/>
    </xf>
    <xf numFmtId="164" fontId="19" fillId="6" borderId="4" xfId="0" applyNumberFormat="1" applyFont="1" applyFill="1" applyBorder="1" applyAlignment="1">
      <alignment horizontal="center" wrapText="1"/>
    </xf>
    <xf numFmtId="164" fontId="3" fillId="0" borderId="4" xfId="1" applyNumberFormat="1" applyFont="1" applyBorder="1" applyAlignment="1">
      <alignment horizontal="left"/>
    </xf>
    <xf numFmtId="164" fontId="3" fillId="0" borderId="0" xfId="1" applyNumberFormat="1" applyFont="1" applyBorder="1" applyAlignment="1">
      <alignment horizontal="left"/>
    </xf>
    <xf numFmtId="0" fontId="3" fillId="0" borderId="5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164" fontId="19" fillId="7" borderId="4" xfId="1" applyNumberFormat="1" applyFont="1" applyFill="1" applyBorder="1" applyAlignment="1">
      <alignment horizontal="left"/>
    </xf>
    <xf numFmtId="0" fontId="0" fillId="0" borderId="6" xfId="0" applyBorder="1" applyAlignment="1">
      <alignment wrapText="1"/>
    </xf>
    <xf numFmtId="164" fontId="0" fillId="0" borderId="7" xfId="1" applyNumberFormat="1" applyFont="1" applyBorder="1" applyAlignment="1">
      <alignment horizontal="left"/>
    </xf>
    <xf numFmtId="164" fontId="0" fillId="0" borderId="6" xfId="1" applyNumberFormat="1" applyFont="1" applyBorder="1" applyAlignment="1">
      <alignment horizontal="left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7" fillId="0" borderId="6" xfId="0" applyFont="1" applyBorder="1" applyAlignment="1">
      <alignment wrapText="1"/>
    </xf>
    <xf numFmtId="164" fontId="0" fillId="0" borderId="4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5" fontId="9" fillId="4" borderId="7" xfId="0" applyNumberFormat="1" applyFont="1" applyFill="1" applyBorder="1" applyAlignment="1">
      <alignment horizontal="center" wrapText="1"/>
    </xf>
    <xf numFmtId="165" fontId="9" fillId="4" borderId="6" xfId="0" applyNumberFormat="1" applyFont="1" applyFill="1" applyBorder="1" applyAlignment="1">
      <alignment horizontal="center" wrapText="1"/>
    </xf>
    <xf numFmtId="165" fontId="9" fillId="4" borderId="8" xfId="0" applyNumberFormat="1" applyFont="1" applyFill="1" applyBorder="1" applyAlignment="1">
      <alignment horizontal="center" wrapText="1"/>
    </xf>
    <xf numFmtId="0" fontId="16" fillId="4" borderId="6" xfId="0" applyFont="1" applyFill="1" applyBorder="1" applyAlignment="1">
      <alignment horizontal="center" wrapText="1"/>
    </xf>
    <xf numFmtId="164" fontId="3" fillId="6" borderId="4" xfId="1" applyNumberFormat="1" applyFont="1" applyFill="1" applyBorder="1"/>
    <xf numFmtId="164" fontId="3" fillId="6" borderId="0" xfId="1" applyNumberFormat="1" applyFont="1" applyFill="1" applyBorder="1"/>
    <xf numFmtId="164" fontId="13" fillId="0" borderId="4" xfId="1" applyNumberFormat="1" applyFont="1" applyBorder="1"/>
    <xf numFmtId="164" fontId="13" fillId="0" borderId="0" xfId="1" applyNumberFormat="1" applyFont="1" applyBorder="1"/>
    <xf numFmtId="166" fontId="3" fillId="0" borderId="0" xfId="0" applyNumberFormat="1" applyFont="1"/>
    <xf numFmtId="164" fontId="12" fillId="0" borderId="4" xfId="1" applyNumberFormat="1" applyFont="1" applyBorder="1"/>
    <xf numFmtId="164" fontId="19" fillId="7" borderId="4" xfId="1" applyNumberFormat="1" applyFont="1" applyFill="1" applyBorder="1"/>
    <xf numFmtId="164" fontId="0" fillId="7" borderId="0" xfId="1" applyNumberFormat="1" applyFont="1" applyFill="1" applyBorder="1"/>
    <xf numFmtId="0" fontId="0" fillId="7" borderId="5" xfId="0" applyFill="1" applyBorder="1" applyAlignment="1">
      <alignment horizontal="center" wrapText="1"/>
    </xf>
    <xf numFmtId="164" fontId="19" fillId="7" borderId="4" xfId="0" applyNumberFormat="1" applyFont="1" applyFill="1" applyBorder="1" applyAlignment="1">
      <alignment horizontal="center" wrapText="1"/>
    </xf>
    <xf numFmtId="164" fontId="0" fillId="0" borderId="7" xfId="1" applyNumberFormat="1" applyFont="1" applyBorder="1"/>
    <xf numFmtId="164" fontId="0" fillId="0" borderId="6" xfId="1" applyNumberFormat="1" applyFont="1" applyBorder="1"/>
    <xf numFmtId="1" fontId="3" fillId="3" borderId="5" xfId="0" applyNumberFormat="1" applyFont="1" applyFill="1" applyBorder="1" applyAlignment="1">
      <alignment horizontal="center" wrapText="1"/>
    </xf>
    <xf numFmtId="0" fontId="3" fillId="4" borderId="6" xfId="0" applyFont="1" applyFill="1" applyBorder="1" applyAlignment="1">
      <alignment wrapText="1"/>
    </xf>
    <xf numFmtId="165" fontId="3" fillId="4" borderId="7" xfId="0" applyNumberFormat="1" applyFont="1" applyFill="1" applyBorder="1" applyAlignment="1">
      <alignment horizontal="center" wrapText="1"/>
    </xf>
    <xf numFmtId="165" fontId="3" fillId="4" borderId="6" xfId="0" applyNumberFormat="1" applyFont="1" applyFill="1" applyBorder="1" applyAlignment="1">
      <alignment horizontal="center" wrapText="1"/>
    </xf>
    <xf numFmtId="165" fontId="3" fillId="4" borderId="8" xfId="0" applyNumberFormat="1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165" fontId="9" fillId="6" borderId="4" xfId="0" applyNumberFormat="1" applyFont="1" applyFill="1" applyBorder="1" applyAlignment="1">
      <alignment horizontal="center" wrapText="1"/>
    </xf>
    <xf numFmtId="165" fontId="9" fillId="6" borderId="5" xfId="0" applyNumberFormat="1" applyFont="1" applyFill="1" applyBorder="1" applyAlignment="1">
      <alignment horizontal="center" wrapText="1"/>
    </xf>
    <xf numFmtId="164" fontId="13" fillId="0" borderId="4" xfId="1" applyNumberFormat="1" applyFont="1" applyFill="1" applyBorder="1"/>
    <xf numFmtId="164" fontId="0" fillId="0" borderId="4" xfId="1" applyNumberFormat="1" applyFont="1" applyFill="1" applyBorder="1"/>
    <xf numFmtId="164" fontId="0" fillId="0" borderId="0" xfId="1" applyNumberFormat="1" applyFont="1" applyFill="1" applyBorder="1"/>
    <xf numFmtId="164" fontId="13" fillId="0" borderId="0" xfId="1" applyNumberFormat="1" applyFont="1" applyFill="1" applyBorder="1"/>
    <xf numFmtId="164" fontId="3" fillId="0" borderId="4" xfId="1" applyNumberFormat="1" applyFont="1" applyBorder="1"/>
    <xf numFmtId="164" fontId="3" fillId="0" borderId="4" xfId="0" applyNumberFormat="1" applyFont="1" applyBorder="1" applyAlignment="1">
      <alignment horizontal="center" wrapText="1"/>
    </xf>
    <xf numFmtId="164" fontId="3" fillId="7" borderId="4" xfId="1" applyNumberFormat="1" applyFont="1" applyFill="1" applyBorder="1"/>
    <xf numFmtId="0" fontId="16" fillId="5" borderId="1" xfId="0" applyFont="1" applyFill="1" applyBorder="1" applyAlignment="1">
      <alignment wrapText="1"/>
    </xf>
    <xf numFmtId="164" fontId="16" fillId="5" borderId="2" xfId="1" applyNumberFormat="1" applyFont="1" applyFill="1" applyBorder="1"/>
    <xf numFmtId="164" fontId="16" fillId="5" borderId="1" xfId="1" applyNumberFormat="1" applyFont="1" applyFill="1" applyBorder="1"/>
    <xf numFmtId="164" fontId="16" fillId="5" borderId="3" xfId="1" applyNumberFormat="1" applyFont="1" applyFill="1" applyBorder="1"/>
    <xf numFmtId="164" fontId="9" fillId="0" borderId="4" xfId="1" applyNumberFormat="1" applyFont="1" applyBorder="1"/>
    <xf numFmtId="164" fontId="9" fillId="0" borderId="0" xfId="1" applyNumberFormat="1" applyFont="1" applyBorder="1"/>
    <xf numFmtId="164" fontId="9" fillId="0" borderId="5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164" fontId="16" fillId="0" borderId="0" xfId="1" applyNumberFormat="1" applyFont="1" applyBorder="1"/>
    <xf numFmtId="3" fontId="9" fillId="0" borderId="5" xfId="1" applyNumberFormat="1" applyFont="1" applyBorder="1" applyAlignment="1">
      <alignment horizontal="center"/>
    </xf>
    <xf numFmtId="0" fontId="9" fillId="0" borderId="10" xfId="0" applyFont="1" applyBorder="1" applyAlignment="1">
      <alignment wrapText="1"/>
    </xf>
    <xf numFmtId="164" fontId="9" fillId="0" borderId="11" xfId="1" applyNumberFormat="1" applyFont="1" applyBorder="1"/>
    <xf numFmtId="164" fontId="9" fillId="0" borderId="10" xfId="1" applyNumberFormat="1" applyFont="1" applyBorder="1"/>
    <xf numFmtId="164" fontId="9" fillId="0" borderId="12" xfId="1" applyNumberFormat="1" applyFont="1" applyBorder="1" applyAlignment="1">
      <alignment horizontal="center"/>
    </xf>
    <xf numFmtId="164" fontId="9" fillId="0" borderId="11" xfId="1" applyNumberFormat="1" applyFont="1" applyBorder="1" applyAlignment="1">
      <alignment horizontal="center"/>
    </xf>
    <xf numFmtId="164" fontId="9" fillId="0" borderId="10" xfId="1" applyNumberFormat="1" applyFont="1" applyBorder="1" applyAlignment="1">
      <alignment horizontal="center"/>
    </xf>
    <xf numFmtId="164" fontId="16" fillId="0" borderId="10" xfId="1" applyNumberFormat="1" applyFont="1" applyBorder="1"/>
    <xf numFmtId="164" fontId="9" fillId="8" borderId="4" xfId="1" applyNumberFormat="1" applyFont="1" applyFill="1" applyBorder="1"/>
    <xf numFmtId="164" fontId="9" fillId="8" borderId="0" xfId="1" applyNumberFormat="1" applyFont="1" applyFill="1" applyBorder="1"/>
    <xf numFmtId="164" fontId="9" fillId="8" borderId="5" xfId="1" applyNumberFormat="1" applyFont="1" applyFill="1" applyBorder="1" applyAlignment="1">
      <alignment horizontal="center"/>
    </xf>
    <xf numFmtId="164" fontId="9" fillId="8" borderId="4" xfId="1" applyNumberFormat="1" applyFont="1" applyFill="1" applyBorder="1" applyAlignment="1">
      <alignment horizontal="center"/>
    </xf>
    <xf numFmtId="164" fontId="9" fillId="8" borderId="0" xfId="1" applyNumberFormat="1" applyFont="1" applyFill="1" applyBorder="1" applyAlignment="1">
      <alignment horizontal="center"/>
    </xf>
    <xf numFmtId="164" fontId="16" fillId="8" borderId="0" xfId="1" applyNumberFormat="1" applyFont="1" applyFill="1" applyBorder="1"/>
    <xf numFmtId="164" fontId="16" fillId="0" borderId="4" xfId="1" applyNumberFormat="1" applyFont="1" applyBorder="1"/>
    <xf numFmtId="164" fontId="16" fillId="0" borderId="5" xfId="1" applyNumberFormat="1" applyFont="1" applyBorder="1" applyAlignment="1">
      <alignment horizontal="center"/>
    </xf>
    <xf numFmtId="0" fontId="16" fillId="0" borderId="6" xfId="0" applyFont="1" applyBorder="1" applyAlignment="1">
      <alignment wrapText="1"/>
    </xf>
    <xf numFmtId="164" fontId="16" fillId="0" borderId="7" xfId="1" applyNumberFormat="1" applyFont="1" applyBorder="1"/>
    <xf numFmtId="164" fontId="16" fillId="0" borderId="6" xfId="1" applyNumberFormat="1" applyFont="1" applyBorder="1"/>
    <xf numFmtId="164" fontId="16" fillId="0" borderId="8" xfId="1" applyNumberFormat="1" applyFont="1" applyBorder="1" applyAlignment="1">
      <alignment horizontal="center"/>
    </xf>
    <xf numFmtId="164" fontId="2" fillId="0" borderId="6" xfId="1" applyNumberFormat="1" applyFont="1" applyBorder="1"/>
    <xf numFmtId="164" fontId="0" fillId="0" borderId="5" xfId="1" applyNumberFormat="1" applyFont="1" applyBorder="1"/>
    <xf numFmtId="0" fontId="9" fillId="9" borderId="6" xfId="0" applyFont="1" applyFill="1" applyBorder="1" applyAlignment="1">
      <alignment wrapText="1"/>
    </xf>
    <xf numFmtId="164" fontId="16" fillId="9" borderId="7" xfId="1" applyNumberFormat="1" applyFont="1" applyFill="1" applyBorder="1"/>
    <xf numFmtId="164" fontId="16" fillId="9" borderId="6" xfId="1" applyNumberFormat="1" applyFont="1" applyFill="1" applyBorder="1"/>
    <xf numFmtId="164" fontId="16" fillId="9" borderId="8" xfId="1" applyNumberFormat="1" applyFont="1" applyFill="1" applyBorder="1"/>
    <xf numFmtId="164" fontId="3" fillId="6" borderId="4" xfId="1" applyNumberFormat="1" applyFont="1" applyFill="1" applyBorder="1" applyAlignment="1">
      <alignment horizontal="right"/>
    </xf>
    <xf numFmtId="164" fontId="3" fillId="6" borderId="0" xfId="1" applyNumberFormat="1" applyFont="1" applyFill="1" applyBorder="1" applyAlignment="1">
      <alignment horizontal="right"/>
    </xf>
    <xf numFmtId="164" fontId="3" fillId="6" borderId="5" xfId="1" applyNumberFormat="1" applyFont="1" applyFill="1" applyBorder="1"/>
    <xf numFmtId="164" fontId="12" fillId="0" borderId="4" xfId="1" applyNumberFormat="1" applyFont="1" applyBorder="1" applyAlignment="1">
      <alignment horizontal="right"/>
    </xf>
    <xf numFmtId="0" fontId="12" fillId="0" borderId="4" xfId="0" applyFont="1" applyBorder="1" applyAlignment="1">
      <alignment horizontal="center" wrapText="1"/>
    </xf>
    <xf numFmtId="0" fontId="12" fillId="0" borderId="0" xfId="0" applyFont="1"/>
    <xf numFmtId="164" fontId="9" fillId="6" borderId="4" xfId="1" applyNumberFormat="1" applyFont="1" applyFill="1" applyBorder="1" applyAlignment="1">
      <alignment horizontal="right"/>
    </xf>
    <xf numFmtId="164" fontId="9" fillId="6" borderId="0" xfId="1" applyNumberFormat="1" applyFont="1" applyFill="1" applyBorder="1" applyAlignment="1">
      <alignment horizontal="right"/>
    </xf>
    <xf numFmtId="0" fontId="9" fillId="6" borderId="5" xfId="0" applyFont="1" applyFill="1" applyBorder="1" applyAlignment="1">
      <alignment horizontal="center" wrapText="1"/>
    </xf>
    <xf numFmtId="0" fontId="0" fillId="6" borderId="5" xfId="0" applyFill="1" applyBorder="1" applyAlignment="1">
      <alignment horizontal="center" wrapText="1"/>
    </xf>
    <xf numFmtId="164" fontId="3" fillId="0" borderId="4" xfId="1" applyNumberFormat="1" applyFont="1" applyBorder="1" applyAlignment="1">
      <alignment horizontal="right"/>
    </xf>
    <xf numFmtId="164" fontId="3" fillId="10" borderId="4" xfId="1" applyNumberFormat="1" applyFont="1" applyFill="1" applyBorder="1"/>
    <xf numFmtId="164" fontId="3" fillId="10" borderId="0" xfId="1" applyNumberFormat="1" applyFont="1" applyFill="1" applyBorder="1"/>
    <xf numFmtId="0" fontId="3" fillId="10" borderId="5" xfId="0" applyFont="1" applyFill="1" applyBorder="1" applyAlignment="1">
      <alignment horizontal="center" wrapText="1"/>
    </xf>
    <xf numFmtId="164" fontId="3" fillId="10" borderId="4" xfId="0" applyNumberFormat="1" applyFont="1" applyFill="1" applyBorder="1" applyAlignment="1">
      <alignment horizontal="center" wrapText="1"/>
    </xf>
    <xf numFmtId="165" fontId="3" fillId="10" borderId="4" xfId="0" applyNumberFormat="1" applyFont="1" applyFill="1" applyBorder="1" applyAlignment="1">
      <alignment horizontal="center" wrapText="1"/>
    </xf>
    <xf numFmtId="3" fontId="3" fillId="10" borderId="5" xfId="0" applyNumberFormat="1" applyFont="1" applyFill="1" applyBorder="1" applyAlignment="1">
      <alignment horizontal="center" wrapText="1"/>
    </xf>
    <xf numFmtId="165" fontId="3" fillId="10" borderId="5" xfId="0" applyNumberFormat="1" applyFont="1" applyFill="1" applyBorder="1" applyAlignment="1">
      <alignment horizontal="center" wrapText="1"/>
    </xf>
    <xf numFmtId="164" fontId="9" fillId="6" borderId="4" xfId="1" applyNumberFormat="1" applyFont="1" applyFill="1" applyBorder="1" applyAlignment="1">
      <alignment horizontal="center"/>
    </xf>
    <xf numFmtId="164" fontId="9" fillId="6" borderId="0" xfId="1" applyNumberFormat="1" applyFont="1" applyFill="1" applyBorder="1" applyAlignment="1">
      <alignment horizontal="center"/>
    </xf>
    <xf numFmtId="164" fontId="12" fillId="0" borderId="4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7" fontId="0" fillId="0" borderId="5" xfId="0" applyNumberFormat="1" applyBorder="1" applyAlignment="1">
      <alignment horizontal="center" wrapText="1"/>
    </xf>
    <xf numFmtId="164" fontId="0" fillId="0" borderId="4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3" fillId="6" borderId="4" xfId="1" applyNumberFormat="1" applyFont="1" applyFill="1" applyBorder="1" applyAlignment="1">
      <alignment horizontal="center"/>
    </xf>
    <xf numFmtId="164" fontId="3" fillId="6" borderId="0" xfId="1" applyNumberFormat="1" applyFont="1" applyFill="1" applyBorder="1" applyAlignment="1">
      <alignment horizontal="center"/>
    </xf>
    <xf numFmtId="3" fontId="3" fillId="6" borderId="5" xfId="0" applyNumberFormat="1" applyFont="1" applyFill="1" applyBorder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3" fontId="0" fillId="0" borderId="4" xfId="0" applyNumberFormat="1" applyBorder="1" applyAlignment="1">
      <alignment horizontal="center" wrapText="1"/>
    </xf>
    <xf numFmtId="3" fontId="3" fillId="7" borderId="5" xfId="0" applyNumberFormat="1" applyFont="1" applyFill="1" applyBorder="1" applyAlignment="1">
      <alignment horizontal="center" wrapText="1"/>
    </xf>
    <xf numFmtId="3" fontId="3" fillId="7" borderId="4" xfId="0" applyNumberFormat="1" applyFont="1" applyFill="1" applyBorder="1" applyAlignment="1">
      <alignment horizontal="center" wrapText="1"/>
    </xf>
    <xf numFmtId="164" fontId="19" fillId="6" borderId="4" xfId="1" applyNumberFormat="1" applyFont="1" applyFill="1" applyBorder="1" applyAlignment="1">
      <alignment horizontal="center"/>
    </xf>
    <xf numFmtId="164" fontId="19" fillId="6" borderId="0" xfId="1" applyNumberFormat="1" applyFont="1" applyFill="1" applyBorder="1" applyAlignment="1">
      <alignment horizontal="center"/>
    </xf>
    <xf numFmtId="0" fontId="19" fillId="6" borderId="5" xfId="0" applyFont="1" applyFill="1" applyBorder="1" applyAlignment="1">
      <alignment horizontal="center" wrapText="1"/>
    </xf>
    <xf numFmtId="164" fontId="12" fillId="0" borderId="4" xfId="1" applyNumberFormat="1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3" fillId="12" borderId="4" xfId="1" applyNumberFormat="1" applyFont="1" applyFill="1" applyBorder="1"/>
    <xf numFmtId="164" fontId="3" fillId="12" borderId="0" xfId="1" applyNumberFormat="1" applyFont="1" applyFill="1" applyBorder="1"/>
    <xf numFmtId="0" fontId="3" fillId="12" borderId="5" xfId="0" applyFont="1" applyFill="1" applyBorder="1" applyAlignment="1">
      <alignment horizontal="center" wrapText="1"/>
    </xf>
    <xf numFmtId="164" fontId="3" fillId="12" borderId="4" xfId="0" applyNumberFormat="1" applyFont="1" applyFill="1" applyBorder="1" applyAlignment="1">
      <alignment horizontal="center" wrapText="1"/>
    </xf>
    <xf numFmtId="165" fontId="3" fillId="12" borderId="4" xfId="0" applyNumberFormat="1" applyFont="1" applyFill="1" applyBorder="1" applyAlignment="1">
      <alignment horizontal="center" wrapText="1"/>
    </xf>
    <xf numFmtId="1" fontId="3" fillId="12" borderId="5" xfId="0" applyNumberFormat="1" applyFont="1" applyFill="1" applyBorder="1" applyAlignment="1">
      <alignment horizontal="center" wrapText="1"/>
    </xf>
    <xf numFmtId="165" fontId="3" fillId="12" borderId="5" xfId="0" applyNumberFormat="1" applyFont="1" applyFill="1" applyBorder="1" applyAlignment="1">
      <alignment horizontal="center" wrapText="1"/>
    </xf>
    <xf numFmtId="0" fontId="3" fillId="13" borderId="6" xfId="0" applyFont="1" applyFill="1" applyBorder="1" applyAlignment="1">
      <alignment wrapText="1"/>
    </xf>
    <xf numFmtId="164" fontId="0" fillId="13" borderId="7" xfId="1" applyNumberFormat="1" applyFont="1" applyFill="1" applyBorder="1"/>
    <xf numFmtId="164" fontId="0" fillId="13" borderId="6" xfId="1" applyNumberFormat="1" applyFont="1" applyFill="1" applyBorder="1"/>
    <xf numFmtId="164" fontId="0" fillId="13" borderId="8" xfId="1" applyNumberFormat="1" applyFont="1" applyFill="1" applyBorder="1"/>
    <xf numFmtId="164" fontId="0" fillId="6" borderId="0" xfId="1" applyNumberFormat="1" applyFont="1" applyFill="1" applyBorder="1"/>
    <xf numFmtId="0" fontId="13" fillId="0" borderId="4" xfId="0" applyFont="1" applyBorder="1" applyAlignment="1">
      <alignment horizontal="center" wrapText="1"/>
    </xf>
    <xf numFmtId="164" fontId="13" fillId="0" borderId="0" xfId="1" applyNumberFormat="1" applyFont="1" applyFill="1" applyBorder="1" applyAlignment="1">
      <alignment horizontal="center"/>
    </xf>
    <xf numFmtId="164" fontId="18" fillId="7" borderId="0" xfId="1" applyNumberFormat="1" applyFont="1" applyFill="1" applyBorder="1" applyAlignment="1">
      <alignment horizontal="center"/>
    </xf>
    <xf numFmtId="164" fontId="18" fillId="7" borderId="4" xfId="0" applyNumberFormat="1" applyFont="1" applyFill="1" applyBorder="1" applyAlignment="1">
      <alignment horizontal="center" wrapText="1"/>
    </xf>
    <xf numFmtId="44" fontId="0" fillId="0" borderId="4" xfId="0" applyNumberFormat="1" applyBorder="1" applyAlignment="1">
      <alignment horizontal="center" wrapText="1"/>
    </xf>
    <xf numFmtId="164" fontId="13" fillId="0" borderId="0" xfId="1" applyNumberFormat="1" applyFont="1" applyBorder="1" applyAlignment="1">
      <alignment horizontal="left"/>
    </xf>
    <xf numFmtId="44" fontId="0" fillId="0" borderId="0" xfId="1" applyFont="1"/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3" fillId="14" borderId="4" xfId="0" applyFont="1" applyFill="1" applyBorder="1"/>
    <xf numFmtId="0" fontId="0" fillId="14" borderId="0" xfId="0" applyFill="1" applyAlignment="1">
      <alignment wrapText="1"/>
    </xf>
    <xf numFmtId="164" fontId="0" fillId="14" borderId="4" xfId="1" applyNumberFormat="1" applyFont="1" applyFill="1" applyBorder="1"/>
    <xf numFmtId="164" fontId="0" fillId="14" borderId="0" xfId="1" applyNumberFormat="1" applyFont="1" applyFill="1" applyBorder="1"/>
    <xf numFmtId="164" fontId="0" fillId="14" borderId="5" xfId="1" applyNumberFormat="1" applyFont="1" applyFill="1" applyBorder="1"/>
    <xf numFmtId="0" fontId="0" fillId="0" borderId="4" xfId="0" applyBorder="1"/>
    <xf numFmtId="3" fontId="0" fillId="0" borderId="5" xfId="1" applyNumberFormat="1" applyFont="1" applyBorder="1"/>
    <xf numFmtId="0" fontId="0" fillId="0" borderId="16" xfId="0" applyBorder="1"/>
    <xf numFmtId="164" fontId="3" fillId="0" borderId="16" xfId="1" applyNumberFormat="1" applyFont="1" applyBorder="1"/>
    <xf numFmtId="164" fontId="3" fillId="0" borderId="17" xfId="1" applyNumberFormat="1" applyFont="1" applyBorder="1"/>
    <xf numFmtId="164" fontId="0" fillId="0" borderId="18" xfId="1" applyNumberFormat="1" applyFont="1" applyBorder="1"/>
    <xf numFmtId="164" fontId="3" fillId="15" borderId="4" xfId="1" applyNumberFormat="1" applyFont="1" applyFill="1" applyBorder="1"/>
    <xf numFmtId="164" fontId="3" fillId="15" borderId="0" xfId="1" applyNumberFormat="1" applyFont="1" applyFill="1" applyBorder="1"/>
    <xf numFmtId="0" fontId="3" fillId="15" borderId="5" xfId="0" applyFont="1" applyFill="1" applyBorder="1" applyAlignment="1">
      <alignment horizontal="center" wrapText="1"/>
    </xf>
    <xf numFmtId="165" fontId="3" fillId="15" borderId="4" xfId="0" applyNumberFormat="1" applyFont="1" applyFill="1" applyBorder="1" applyAlignment="1">
      <alignment horizontal="center" wrapText="1"/>
    </xf>
    <xf numFmtId="1" fontId="3" fillId="15" borderId="5" xfId="0" applyNumberFormat="1" applyFont="1" applyFill="1" applyBorder="1" applyAlignment="1">
      <alignment horizontal="center" wrapText="1"/>
    </xf>
    <xf numFmtId="165" fontId="3" fillId="15" borderId="5" xfId="0" applyNumberFormat="1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 wrapText="1"/>
    </xf>
    <xf numFmtId="165" fontId="3" fillId="3" borderId="0" xfId="0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64" fontId="12" fillId="0" borderId="0" xfId="0" applyNumberFormat="1" applyFont="1" applyBorder="1" applyAlignment="1">
      <alignment horizontal="center" wrapText="1"/>
    </xf>
    <xf numFmtId="164" fontId="0" fillId="0" borderId="0" xfId="0" applyNumberForma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 wrapText="1"/>
    </xf>
    <xf numFmtId="164" fontId="13" fillId="0" borderId="0" xfId="0" applyNumberFormat="1" applyFont="1" applyBorder="1" applyAlignment="1">
      <alignment horizontal="center" wrapText="1"/>
    </xf>
    <xf numFmtId="165" fontId="9" fillId="6" borderId="0" xfId="0" applyNumberFormat="1" applyFont="1" applyFill="1" applyBorder="1" applyAlignment="1">
      <alignment horizontal="center" wrapText="1"/>
    </xf>
    <xf numFmtId="165" fontId="3" fillId="15" borderId="0" xfId="0" applyNumberFormat="1" applyFont="1" applyFill="1" applyBorder="1" applyAlignment="1">
      <alignment horizontal="center" wrapText="1"/>
    </xf>
    <xf numFmtId="165" fontId="3" fillId="10" borderId="0" xfId="0" applyNumberFormat="1" applyFont="1" applyFill="1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164" fontId="3" fillId="12" borderId="0" xfId="0" applyNumberFormat="1" applyFont="1" applyFill="1" applyBorder="1" applyAlignment="1">
      <alignment horizontal="center" wrapText="1"/>
    </xf>
    <xf numFmtId="165" fontId="3" fillId="12" borderId="0" xfId="0" applyNumberFormat="1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164" fontId="18" fillId="7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7" borderId="0" xfId="0" applyFill="1" applyBorder="1" applyAlignment="1">
      <alignment horizontal="center" wrapText="1"/>
    </xf>
    <xf numFmtId="165" fontId="9" fillId="0" borderId="0" xfId="0" applyNumberFormat="1" applyFont="1" applyBorder="1" applyAlignment="1">
      <alignment horizontal="center" wrapText="1"/>
    </xf>
    <xf numFmtId="0" fontId="9" fillId="15" borderId="4" xfId="0" applyFont="1" applyFill="1" applyBorder="1"/>
    <xf numFmtId="0" fontId="3" fillId="15" borderId="0" xfId="0" applyFont="1" applyFill="1" applyBorder="1" applyAlignment="1">
      <alignment wrapText="1"/>
    </xf>
    <xf numFmtId="0" fontId="3" fillId="15" borderId="0" xfId="0" applyFont="1" applyFill="1" applyBorder="1" applyAlignment="1">
      <alignment horizontal="center" wrapText="1"/>
    </xf>
    <xf numFmtId="0" fontId="3" fillId="15" borderId="4" xfId="0" applyFont="1" applyFill="1" applyBorder="1"/>
    <xf numFmtId="0" fontId="0" fillId="15" borderId="0" xfId="0" applyFill="1" applyBorder="1" applyAlignment="1">
      <alignment horizontal="center" wrapText="1"/>
    </xf>
    <xf numFmtId="0" fontId="0" fillId="15" borderId="5" xfId="0" applyFill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9" fillId="9" borderId="7" xfId="0" applyFont="1" applyFill="1" applyBorder="1"/>
    <xf numFmtId="0" fontId="16" fillId="9" borderId="8" xfId="0" applyFont="1" applyFill="1" applyBorder="1" applyAlignment="1">
      <alignment horizontal="center" wrapText="1"/>
    </xf>
    <xf numFmtId="0" fontId="3" fillId="6" borderId="4" xfId="0" applyFont="1" applyFill="1" applyBorder="1"/>
    <xf numFmtId="0" fontId="3" fillId="6" borderId="0" xfId="0" applyFont="1" applyFill="1" applyBorder="1" applyAlignment="1">
      <alignment wrapText="1"/>
    </xf>
    <xf numFmtId="0" fontId="11" fillId="0" borderId="4" xfId="0" applyFont="1" applyBorder="1"/>
    <xf numFmtId="0" fontId="12" fillId="0" borderId="0" xfId="0" applyFont="1" applyBorder="1" applyAlignment="1">
      <alignment horizontal="left" wrapText="1" indent="1"/>
    </xf>
    <xf numFmtId="0" fontId="7" fillId="0" borderId="0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6" fillId="0" borderId="4" xfId="0" applyFont="1" applyBorder="1"/>
    <xf numFmtId="0" fontId="0" fillId="0" borderId="0" xfId="0" applyBorder="1" applyAlignment="1">
      <alignment horizontal="left" wrapText="1" indent="1"/>
    </xf>
    <xf numFmtId="0" fontId="8" fillId="6" borderId="4" xfId="0" applyFont="1" applyFill="1" applyBorder="1"/>
    <xf numFmtId="0" fontId="9" fillId="6" borderId="0" xfId="0" applyFont="1" applyFill="1" applyBorder="1" applyAlignment="1">
      <alignment horizontal="left" wrapText="1"/>
    </xf>
    <xf numFmtId="0" fontId="10" fillId="6" borderId="0" xfId="0" applyFont="1" applyFill="1" applyBorder="1" applyAlignment="1">
      <alignment wrapText="1"/>
    </xf>
    <xf numFmtId="0" fontId="22" fillId="6" borderId="5" xfId="0" applyFont="1" applyFill="1" applyBorder="1" applyAlignment="1">
      <alignment wrapText="1"/>
    </xf>
    <xf numFmtId="0" fontId="13" fillId="0" borderId="0" xfId="0" applyFont="1" applyBorder="1" applyAlignment="1">
      <alignment horizontal="left" wrapText="1" indent="1"/>
    </xf>
    <xf numFmtId="0" fontId="14" fillId="6" borderId="4" xfId="0" applyFont="1" applyFill="1" applyBorder="1"/>
    <xf numFmtId="0" fontId="15" fillId="6" borderId="0" xfId="0" applyFont="1" applyFill="1" applyBorder="1" applyAlignment="1">
      <alignment wrapText="1"/>
    </xf>
    <xf numFmtId="0" fontId="17" fillId="0" borderId="0" xfId="0" applyFont="1" applyBorder="1" applyAlignment="1">
      <alignment wrapText="1"/>
    </xf>
    <xf numFmtId="0" fontId="23" fillId="0" borderId="5" xfId="0" applyFont="1" applyBorder="1" applyAlignment="1">
      <alignment wrapText="1"/>
    </xf>
    <xf numFmtId="0" fontId="6" fillId="6" borderId="4" xfId="0" applyFont="1" applyFill="1" applyBorder="1"/>
    <xf numFmtId="0" fontId="3" fillId="6" borderId="0" xfId="0" applyFont="1" applyFill="1" applyBorder="1" applyAlignment="1">
      <alignment horizontal="left" wrapText="1"/>
    </xf>
    <xf numFmtId="0" fontId="17" fillId="6" borderId="0" xfId="0" applyFont="1" applyFill="1" applyBorder="1" applyAlignment="1">
      <alignment wrapText="1"/>
    </xf>
    <xf numFmtId="0" fontId="13" fillId="6" borderId="5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9" fillId="6" borderId="4" xfId="0" applyFont="1" applyFill="1" applyBorder="1"/>
    <xf numFmtId="0" fontId="9" fillId="6" borderId="0" xfId="0" applyFont="1" applyFill="1" applyBorder="1" applyAlignment="1">
      <alignment wrapText="1"/>
    </xf>
    <xf numFmtId="0" fontId="20" fillId="6" borderId="0" xfId="0" applyFont="1" applyFill="1" applyBorder="1" applyAlignment="1">
      <alignment wrapText="1"/>
    </xf>
    <xf numFmtId="0" fontId="20" fillId="6" borderId="5" xfId="0" applyFont="1" applyFill="1" applyBorder="1" applyAlignment="1">
      <alignment wrapText="1"/>
    </xf>
    <xf numFmtId="0" fontId="6" fillId="0" borderId="16" xfId="0" applyFont="1" applyBorder="1"/>
    <xf numFmtId="164" fontId="0" fillId="0" borderId="16" xfId="1" applyNumberFormat="1" applyFont="1" applyBorder="1" applyAlignment="1">
      <alignment horizontal="right"/>
    </xf>
    <xf numFmtId="164" fontId="0" fillId="0" borderId="17" xfId="1" applyNumberFormat="1" applyFont="1" applyBorder="1" applyAlignment="1">
      <alignment horizontal="right"/>
    </xf>
    <xf numFmtId="0" fontId="0" fillId="0" borderId="18" xfId="0" applyBorder="1" applyAlignment="1">
      <alignment horizontal="center" wrapText="1"/>
    </xf>
    <xf numFmtId="0" fontId="7" fillId="0" borderId="17" xfId="0" applyFont="1" applyBorder="1" applyAlignment="1">
      <alignment wrapText="1"/>
    </xf>
    <xf numFmtId="164" fontId="0" fillId="0" borderId="0" xfId="0" applyNumberForma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 wrapText="1"/>
    </xf>
    <xf numFmtId="0" fontId="7" fillId="7" borderId="0" xfId="0" applyFont="1" applyFill="1" applyBorder="1" applyAlignment="1">
      <alignment wrapText="1"/>
    </xf>
    <xf numFmtId="0" fontId="24" fillId="6" borderId="0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3" fillId="3" borderId="4" xfId="0" applyFont="1" applyFill="1" applyBorder="1"/>
    <xf numFmtId="0" fontId="3" fillId="3" borderId="0" xfId="0" applyFont="1" applyFill="1" applyBorder="1" applyAlignment="1">
      <alignment wrapText="1"/>
    </xf>
    <xf numFmtId="0" fontId="0" fillId="3" borderId="0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6" fillId="0" borderId="5" xfId="0" applyFont="1" applyBorder="1" applyAlignment="1">
      <alignment wrapText="1"/>
    </xf>
    <xf numFmtId="0" fontId="8" fillId="6" borderId="5" xfId="0" applyFont="1" applyFill="1" applyBorder="1" applyAlignment="1">
      <alignment wrapText="1"/>
    </xf>
    <xf numFmtId="0" fontId="7" fillId="0" borderId="5" xfId="0" applyFont="1" applyBorder="1" applyAlignment="1">
      <alignment wrapText="1"/>
    </xf>
    <xf numFmtId="0" fontId="14" fillId="6" borderId="5" xfId="0" applyFont="1" applyFill="1" applyBorder="1" applyAlignment="1">
      <alignment wrapText="1"/>
    </xf>
    <xf numFmtId="0" fontId="16" fillId="0" borderId="0" xfId="0" applyFont="1" applyBorder="1" applyAlignment="1">
      <alignment horizontal="left" wrapText="1"/>
    </xf>
    <xf numFmtId="0" fontId="11" fillId="7" borderId="4" xfId="0" applyFont="1" applyFill="1" applyBorder="1"/>
    <xf numFmtId="0" fontId="19" fillId="6" borderId="0" xfId="0" applyFont="1" applyFill="1" applyBorder="1" applyAlignment="1">
      <alignment wrapText="1"/>
    </xf>
    <xf numFmtId="0" fontId="19" fillId="0" borderId="0" xfId="0" applyFont="1" applyBorder="1" applyAlignment="1">
      <alignment wrapText="1"/>
    </xf>
    <xf numFmtId="44" fontId="15" fillId="0" borderId="0" xfId="0" applyNumberFormat="1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6" fillId="0" borderId="7" xfId="0" applyFont="1" applyBorder="1"/>
    <xf numFmtId="0" fontId="6" fillId="0" borderId="8" xfId="0" applyFont="1" applyBorder="1" applyAlignment="1">
      <alignment wrapText="1"/>
    </xf>
    <xf numFmtId="0" fontId="9" fillId="4" borderId="7" xfId="0" applyFont="1" applyFill="1" applyBorder="1"/>
    <xf numFmtId="0" fontId="16" fillId="4" borderId="8" xfId="0" applyFont="1" applyFill="1" applyBorder="1" applyAlignment="1">
      <alignment horizontal="center" wrapText="1"/>
    </xf>
    <xf numFmtId="0" fontId="0" fillId="0" borderId="7" xfId="0" applyBorder="1"/>
    <xf numFmtId="0" fontId="0" fillId="4" borderId="8" xfId="0" applyFill="1" applyBorder="1" applyAlignment="1">
      <alignment horizontal="center" wrapText="1"/>
    </xf>
    <xf numFmtId="0" fontId="16" fillId="6" borderId="5" xfId="0" applyFont="1" applyFill="1" applyBorder="1" applyAlignment="1">
      <alignment horizontal="center" wrapText="1"/>
    </xf>
    <xf numFmtId="0" fontId="9" fillId="0" borderId="4" xfId="0" applyFont="1" applyFill="1" applyBorder="1"/>
    <xf numFmtId="0" fontId="6" fillId="7" borderId="4" xfId="0" applyFont="1" applyFill="1" applyBorder="1"/>
    <xf numFmtId="0" fontId="3" fillId="7" borderId="0" xfId="0" applyFont="1" applyFill="1" applyBorder="1" applyAlignment="1">
      <alignment wrapText="1"/>
    </xf>
    <xf numFmtId="0" fontId="9" fillId="5" borderId="2" xfId="0" applyFont="1" applyFill="1" applyBorder="1"/>
    <xf numFmtId="0" fontId="16" fillId="5" borderId="3" xfId="0" applyFont="1" applyFill="1" applyBorder="1" applyAlignment="1">
      <alignment horizontal="center" wrapText="1"/>
    </xf>
    <xf numFmtId="0" fontId="16" fillId="0" borderId="4" xfId="0" applyFont="1" applyBorder="1"/>
    <xf numFmtId="0" fontId="9" fillId="0" borderId="0" xfId="0" applyFont="1" applyBorder="1" applyAlignment="1">
      <alignment wrapText="1"/>
    </xf>
    <xf numFmtId="0" fontId="16" fillId="0" borderId="11" xfId="0" applyFont="1" applyBorder="1"/>
    <xf numFmtId="0" fontId="16" fillId="0" borderId="12" xfId="0" applyFont="1" applyBorder="1" applyAlignment="1">
      <alignment horizontal="center" wrapText="1"/>
    </xf>
    <xf numFmtId="0" fontId="16" fillId="8" borderId="4" xfId="0" applyFont="1" applyFill="1" applyBorder="1"/>
    <xf numFmtId="0" fontId="9" fillId="8" borderId="0" xfId="0" applyFont="1" applyFill="1" applyBorder="1" applyAlignment="1">
      <alignment wrapText="1"/>
    </xf>
    <xf numFmtId="0" fontId="16" fillId="8" borderId="5" xfId="0" applyFont="1" applyFill="1" applyBorder="1" applyAlignment="1">
      <alignment horizontal="center" wrapText="1"/>
    </xf>
    <xf numFmtId="0" fontId="16" fillId="0" borderId="0" xfId="0" applyFont="1" applyBorder="1" applyAlignment="1">
      <alignment wrapText="1"/>
    </xf>
    <xf numFmtId="0" fontId="20" fillId="0" borderId="4" xfId="0" applyFont="1" applyBorder="1"/>
    <xf numFmtId="0" fontId="20" fillId="0" borderId="7" xfId="0" applyFont="1" applyBorder="1"/>
    <xf numFmtId="0" fontId="16" fillId="0" borderId="8" xfId="0" applyFont="1" applyBorder="1" applyAlignment="1">
      <alignment horizontal="center" wrapText="1"/>
    </xf>
    <xf numFmtId="0" fontId="7" fillId="0" borderId="4" xfId="0" applyFont="1" applyBorder="1"/>
    <xf numFmtId="0" fontId="9" fillId="10" borderId="4" xfId="0" applyFont="1" applyFill="1" applyBorder="1"/>
    <xf numFmtId="0" fontId="3" fillId="10" borderId="0" xfId="0" applyFont="1" applyFill="1" applyBorder="1" applyAlignment="1">
      <alignment wrapText="1"/>
    </xf>
    <xf numFmtId="0" fontId="3" fillId="10" borderId="0" xfId="0" applyFont="1" applyFill="1" applyBorder="1" applyAlignment="1">
      <alignment horizontal="center" wrapText="1"/>
    </xf>
    <xf numFmtId="0" fontId="3" fillId="10" borderId="4" xfId="0" applyFont="1" applyFill="1" applyBorder="1"/>
    <xf numFmtId="0" fontId="0" fillId="10" borderId="0" xfId="0" applyFill="1" applyBorder="1" applyAlignment="1">
      <alignment horizontal="center" wrapText="1"/>
    </xf>
    <xf numFmtId="0" fontId="11" fillId="6" borderId="4" xfId="0" applyFont="1" applyFill="1" applyBorder="1"/>
    <xf numFmtId="0" fontId="7" fillId="6" borderId="0" xfId="0" applyFont="1" applyFill="1" applyBorder="1" applyAlignment="1">
      <alignment wrapText="1"/>
    </xf>
    <xf numFmtId="0" fontId="6" fillId="6" borderId="5" xfId="0" applyFont="1" applyFill="1" applyBorder="1" applyAlignment="1">
      <alignment wrapText="1"/>
    </xf>
    <xf numFmtId="0" fontId="12" fillId="0" borderId="0" xfId="0" applyFont="1" applyBorder="1" applyAlignment="1">
      <alignment wrapText="1"/>
    </xf>
    <xf numFmtId="0" fontId="19" fillId="6" borderId="4" xfId="0" applyFont="1" applyFill="1" applyBorder="1"/>
    <xf numFmtId="0" fontId="7" fillId="6" borderId="5" xfId="0" applyFont="1" applyFill="1" applyBorder="1" applyAlignment="1">
      <alignment wrapText="1"/>
    </xf>
    <xf numFmtId="0" fontId="9" fillId="12" borderId="4" xfId="0" applyFont="1" applyFill="1" applyBorder="1"/>
    <xf numFmtId="0" fontId="3" fillId="12" borderId="0" xfId="0" applyFont="1" applyFill="1" applyBorder="1" applyAlignment="1">
      <alignment wrapText="1"/>
    </xf>
    <xf numFmtId="0" fontId="3" fillId="12" borderId="0" xfId="0" applyFont="1" applyFill="1" applyBorder="1" applyAlignment="1">
      <alignment horizontal="center" wrapText="1"/>
    </xf>
    <xf numFmtId="0" fontId="3" fillId="12" borderId="4" xfId="0" applyFont="1" applyFill="1" applyBorder="1"/>
    <xf numFmtId="0" fontId="0" fillId="12" borderId="0" xfId="0" applyFill="1" applyBorder="1" applyAlignment="1">
      <alignment horizontal="center" wrapText="1"/>
    </xf>
    <xf numFmtId="0" fontId="0" fillId="12" borderId="5" xfId="0" applyFill="1" applyBorder="1" applyAlignment="1">
      <alignment horizontal="center" wrapText="1"/>
    </xf>
    <xf numFmtId="0" fontId="3" fillId="13" borderId="7" xfId="0" applyFont="1" applyFill="1" applyBorder="1"/>
    <xf numFmtId="0" fontId="0" fillId="13" borderId="8" xfId="0" applyFill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21" fillId="6" borderId="5" xfId="0" applyFont="1" applyFill="1" applyBorder="1" applyAlignment="1">
      <alignment wrapText="1"/>
    </xf>
    <xf numFmtId="0" fontId="3" fillId="11" borderId="4" xfId="0" applyFont="1" applyFill="1" applyBorder="1"/>
    <xf numFmtId="0" fontId="3" fillId="11" borderId="0" xfId="0" applyFont="1" applyFill="1" applyBorder="1" applyAlignment="1">
      <alignment wrapText="1"/>
    </xf>
    <xf numFmtId="164" fontId="0" fillId="11" borderId="4" xfId="1" applyNumberFormat="1" applyFont="1" applyFill="1" applyBorder="1"/>
    <xf numFmtId="164" fontId="0" fillId="11" borderId="0" xfId="1" applyNumberFormat="1" applyFont="1" applyFill="1" applyBorder="1"/>
    <xf numFmtId="164" fontId="0" fillId="11" borderId="5" xfId="1" applyNumberFormat="1" applyFont="1" applyFill="1" applyBorder="1"/>
    <xf numFmtId="0" fontId="0" fillId="11" borderId="5" xfId="0" applyFill="1" applyBorder="1" applyAlignment="1">
      <alignment horizontal="center" wrapText="1"/>
    </xf>
    <xf numFmtId="0" fontId="9" fillId="6" borderId="13" xfId="0" applyFont="1" applyFill="1" applyBorder="1"/>
    <xf numFmtId="0" fontId="9" fillId="6" borderId="14" xfId="0" applyFont="1" applyFill="1" applyBorder="1" applyAlignment="1">
      <alignment wrapText="1"/>
    </xf>
    <xf numFmtId="164" fontId="9" fillId="6" borderId="13" xfId="1" applyNumberFormat="1" applyFont="1" applyFill="1" applyBorder="1" applyAlignment="1">
      <alignment horizontal="center"/>
    </xf>
    <xf numFmtId="164" fontId="9" fillId="6" borderId="14" xfId="1" applyNumberFormat="1" applyFont="1" applyFill="1" applyBorder="1" applyAlignment="1">
      <alignment horizontal="center"/>
    </xf>
    <xf numFmtId="1" fontId="9" fillId="6" borderId="15" xfId="1" applyNumberFormat="1" applyFont="1" applyFill="1" applyBorder="1" applyAlignment="1">
      <alignment horizontal="center"/>
    </xf>
    <xf numFmtId="164" fontId="9" fillId="6" borderId="14" xfId="1" applyNumberFormat="1" applyFont="1" applyFill="1" applyBorder="1"/>
    <xf numFmtId="0" fontId="9" fillId="6" borderId="15" xfId="0" applyFont="1" applyFill="1" applyBorder="1" applyAlignment="1">
      <alignment horizontal="center" wrapText="1"/>
    </xf>
    <xf numFmtId="0" fontId="6" fillId="16" borderId="5" xfId="0" applyFont="1" applyFill="1" applyBorder="1" applyAlignment="1">
      <alignment horizontal="left" wrapText="1"/>
    </xf>
    <xf numFmtId="0" fontId="6" fillId="15" borderId="5" xfId="0" applyFont="1" applyFill="1" applyBorder="1" applyAlignment="1">
      <alignment horizontal="left" wrapText="1"/>
    </xf>
    <xf numFmtId="164" fontId="13" fillId="0" borderId="4" xfId="1" applyNumberFormat="1" applyFont="1" applyFill="1" applyBorder="1" applyAlignment="1">
      <alignment horizontal="left"/>
    </xf>
    <xf numFmtId="0" fontId="16" fillId="0" borderId="5" xfId="0" applyFont="1" applyFill="1" applyBorder="1" applyAlignment="1">
      <alignment horizontal="center" wrapText="1"/>
    </xf>
    <xf numFmtId="164" fontId="13" fillId="0" borderId="4" xfId="0" applyNumberFormat="1" applyFont="1" applyFill="1" applyBorder="1" applyAlignment="1">
      <alignment horizontal="center" wrapText="1"/>
    </xf>
    <xf numFmtId="0" fontId="16" fillId="0" borderId="0" xfId="0" applyFont="1" applyBorder="1" applyAlignment="1">
      <alignment horizontal="left" wrapText="1" indent="1"/>
    </xf>
    <xf numFmtId="164" fontId="3" fillId="2" borderId="0" xfId="0" applyNumberFormat="1" applyFont="1" applyFill="1" applyAlignment="1">
      <alignment horizontal="center" wrapText="1"/>
    </xf>
    <xf numFmtId="164" fontId="3" fillId="15" borderId="0" xfId="0" applyNumberFormat="1" applyFont="1" applyFill="1" applyAlignment="1">
      <alignment horizontal="center" wrapText="1"/>
    </xf>
    <xf numFmtId="164" fontId="3" fillId="17" borderId="0" xfId="0" applyNumberFormat="1" applyFont="1" applyFill="1" applyAlignment="1">
      <alignment horizontal="center" wrapText="1"/>
    </xf>
    <xf numFmtId="164" fontId="3" fillId="16" borderId="0" xfId="0" applyNumberFormat="1" applyFont="1" applyFill="1" applyAlignment="1">
      <alignment horizontal="center" wrapText="1"/>
    </xf>
    <xf numFmtId="164" fontId="13" fillId="0" borderId="0" xfId="1" applyNumberFormat="1" applyFont="1" applyBorder="1" applyAlignment="1">
      <alignment horizontal="right"/>
    </xf>
    <xf numFmtId="164" fontId="13" fillId="0" borderId="0" xfId="1" applyNumberFormat="1" applyFont="1" applyFill="1" applyBorder="1" applyAlignment="1">
      <alignment horizontal="right"/>
    </xf>
    <xf numFmtId="164" fontId="9" fillId="0" borderId="4" xfId="1" applyNumberFormat="1" applyFont="1" applyFill="1" applyBorder="1" applyAlignment="1">
      <alignment horizontal="center"/>
    </xf>
    <xf numFmtId="164" fontId="9" fillId="0" borderId="4" xfId="1" applyNumberFormat="1" applyFont="1" applyFill="1" applyBorder="1"/>
    <xf numFmtId="0" fontId="3" fillId="0" borderId="0" xfId="0" applyFont="1" applyAlignment="1">
      <alignment wrapText="1"/>
    </xf>
    <xf numFmtId="164" fontId="3" fillId="0" borderId="0" xfId="1" applyNumberFormat="1" applyFont="1" applyBorder="1"/>
    <xf numFmtId="164" fontId="3" fillId="0" borderId="5" xfId="1" applyNumberFormat="1" applyFont="1" applyBorder="1"/>
    <xf numFmtId="0" fontId="3" fillId="0" borderId="17" xfId="0" applyFont="1" applyBorder="1" applyAlignment="1">
      <alignment wrapText="1"/>
    </xf>
    <xf numFmtId="164" fontId="0" fillId="0" borderId="4" xfId="1" applyNumberFormat="1" applyFont="1" applyFill="1" applyBorder="1" applyAlignment="1">
      <alignment horizontal="left"/>
    </xf>
    <xf numFmtId="164" fontId="3" fillId="7" borderId="0" xfId="1" applyNumberFormat="1" applyFont="1" applyFill="1" applyBorder="1"/>
    <xf numFmtId="164" fontId="16" fillId="0" borderId="0" xfId="1" applyNumberFormat="1" applyFont="1" applyFill="1" applyBorder="1"/>
    <xf numFmtId="0" fontId="7" fillId="2" borderId="5" xfId="0" applyFont="1" applyFill="1" applyBorder="1" applyAlignment="1">
      <alignment horizontal="left" wrapText="1"/>
    </xf>
    <xf numFmtId="0" fontId="7" fillId="17" borderId="5" xfId="0" applyFont="1" applyFill="1" applyBorder="1" applyAlignment="1">
      <alignment horizontal="left" wrapText="1"/>
    </xf>
    <xf numFmtId="0" fontId="7" fillId="10" borderId="5" xfId="0" applyFont="1" applyFill="1" applyBorder="1" applyAlignment="1">
      <alignment horizontal="center" wrapText="1"/>
    </xf>
    <xf numFmtId="0" fontId="7" fillId="17" borderId="18" xfId="0" applyFont="1" applyFill="1" applyBorder="1" applyAlignment="1">
      <alignment horizontal="left" wrapText="1"/>
    </xf>
    <xf numFmtId="44" fontId="0" fillId="0" borderId="0" xfId="1" applyNumberFormat="1" applyFont="1" applyFill="1" applyBorder="1"/>
    <xf numFmtId="164" fontId="3" fillId="0" borderId="0" xfId="1" applyNumberFormat="1" applyFont="1" applyFill="1" applyBorder="1"/>
    <xf numFmtId="0" fontId="0" fillId="0" borderId="18" xfId="0" applyBorder="1" applyAlignment="1">
      <alignment horizontal="left" wrapText="1"/>
    </xf>
    <xf numFmtId="164" fontId="12" fillId="0" borderId="16" xfId="1" applyNumberFormat="1" applyFont="1" applyBorder="1" applyAlignment="1">
      <alignment horizontal="right"/>
    </xf>
    <xf numFmtId="164" fontId="18" fillId="6" borderId="4" xfId="1" applyNumberFormat="1" applyFont="1" applyFill="1" applyBorder="1" applyAlignment="1">
      <alignment horizontal="right"/>
    </xf>
    <xf numFmtId="0" fontId="7" fillId="0" borderId="18" xfId="0" applyFont="1" applyBorder="1" applyAlignment="1">
      <alignment wrapText="1"/>
    </xf>
    <xf numFmtId="165" fontId="0" fillId="0" borderId="0" xfId="0" applyNumberFormat="1"/>
    <xf numFmtId="0" fontId="17" fillId="0" borderId="5" xfId="0" applyFont="1" applyFill="1" applyBorder="1" applyAlignment="1">
      <alignment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BEC70-76D0-48BD-A256-FB07343376F1}">
  <dimension ref="A1:P215"/>
  <sheetViews>
    <sheetView tabSelected="1" topLeftCell="A163" workbookViewId="0">
      <selection activeCell="L28" sqref="L28"/>
    </sheetView>
  </sheetViews>
  <sheetFormatPr defaultRowHeight="15" outlineLevelRow="2" x14ac:dyDescent="0.25"/>
  <cols>
    <col min="1" max="1" width="11.28515625" customWidth="1"/>
    <col min="2" max="2" width="31.28515625" style="2" customWidth="1"/>
    <col min="3" max="6" width="14" style="3" customWidth="1"/>
    <col min="7" max="7" width="11.28515625" style="3" customWidth="1"/>
    <col min="8" max="11" width="14" style="3" customWidth="1"/>
    <col min="12" max="12" width="11.28515625" style="3" customWidth="1"/>
    <col min="13" max="13" width="22.7109375" style="3" customWidth="1"/>
    <col min="14" max="14" width="38.7109375" style="3" customWidth="1"/>
    <col min="16" max="25" width="9.28515625" bestFit="1" customWidth="1"/>
  </cols>
  <sheetData>
    <row r="1" spans="1:16" x14ac:dyDescent="0.25">
      <c r="A1" s="1" t="s">
        <v>162</v>
      </c>
    </row>
    <row r="2" spans="1:16" ht="16.5" x14ac:dyDescent="0.3">
      <c r="A2" s="1" t="s">
        <v>161</v>
      </c>
      <c r="D2" s="4"/>
    </row>
    <row r="3" spans="1:16" ht="15.75" thickBot="1" x14ac:dyDescent="0.3">
      <c r="A3" s="5">
        <v>44349</v>
      </c>
    </row>
    <row r="4" spans="1:16" ht="15.75" thickBot="1" x14ac:dyDescent="0.3">
      <c r="C4" s="392" t="s">
        <v>163</v>
      </c>
      <c r="D4" s="393"/>
      <c r="E4" s="393"/>
      <c r="F4" s="393"/>
      <c r="G4" s="394"/>
      <c r="H4" s="392" t="s">
        <v>164</v>
      </c>
      <c r="I4" s="393"/>
      <c r="J4" s="393"/>
      <c r="K4" s="393"/>
      <c r="L4" s="394"/>
      <c r="O4" s="6"/>
    </row>
    <row r="5" spans="1:16" ht="60" x14ac:dyDescent="0.25">
      <c r="A5" s="395" t="s">
        <v>0</v>
      </c>
      <c r="B5" s="396"/>
      <c r="C5" s="197" t="s">
        <v>1</v>
      </c>
      <c r="D5" s="198" t="s">
        <v>2</v>
      </c>
      <c r="E5" s="198" t="s">
        <v>3</v>
      </c>
      <c r="F5" s="198" t="s">
        <v>165</v>
      </c>
      <c r="G5" s="199" t="s">
        <v>128</v>
      </c>
      <c r="H5" s="197" t="s">
        <v>1</v>
      </c>
      <c r="I5" s="198" t="s">
        <v>2</v>
      </c>
      <c r="J5" s="198" t="s">
        <v>3</v>
      </c>
      <c r="K5" s="198" t="s">
        <v>165</v>
      </c>
      <c r="L5" s="199" t="s">
        <v>128</v>
      </c>
      <c r="M5" s="198" t="s">
        <v>5</v>
      </c>
      <c r="N5" s="199" t="s">
        <v>6</v>
      </c>
    </row>
    <row r="6" spans="1:16" ht="24.75" x14ac:dyDescent="0.25">
      <c r="A6" s="282" t="s">
        <v>7</v>
      </c>
      <c r="B6" s="283"/>
      <c r="C6" s="10">
        <v>185.61620055</v>
      </c>
      <c r="D6" s="11">
        <v>91.593149999999994</v>
      </c>
      <c r="E6" s="11">
        <v>97.51342031836198</v>
      </c>
      <c r="F6" s="11">
        <f>SUM(C6:E6)</f>
        <v>374.72277086836198</v>
      </c>
      <c r="G6" s="12"/>
      <c r="H6" s="217">
        <v>185.61620055</v>
      </c>
      <c r="I6" s="217">
        <v>91.39</v>
      </c>
      <c r="J6" s="217">
        <v>97.2</v>
      </c>
      <c r="K6" s="217">
        <f>SUM(H6:J6)</f>
        <v>374.20620055000001</v>
      </c>
      <c r="L6" s="14">
        <f>G6</f>
        <v>0</v>
      </c>
      <c r="M6" s="284"/>
      <c r="N6" s="380" t="s">
        <v>169</v>
      </c>
    </row>
    <row r="7" spans="1:16" x14ac:dyDescent="0.25">
      <c r="A7" s="282" t="s">
        <v>133</v>
      </c>
      <c r="B7" s="283"/>
      <c r="C7" s="10">
        <f>C130*-0.55</f>
        <v>5.5518310955085814</v>
      </c>
      <c r="D7" s="11"/>
      <c r="E7" s="11"/>
      <c r="F7" s="11">
        <f t="shared" ref="F7:F9" si="0">SUM(C7:E7)</f>
        <v>5.5518310955085814</v>
      </c>
      <c r="G7" s="12"/>
      <c r="H7" s="217">
        <f>0.55*-H$130</f>
        <v>12.377859999999995</v>
      </c>
      <c r="I7" s="217"/>
      <c r="J7" s="217"/>
      <c r="K7" s="217">
        <f>SUM(H7:J7)</f>
        <v>12.377859999999995</v>
      </c>
      <c r="L7" s="14"/>
      <c r="M7" s="284"/>
      <c r="N7" s="380" t="s">
        <v>134</v>
      </c>
    </row>
    <row r="8" spans="1:16" x14ac:dyDescent="0.25">
      <c r="A8" s="285" t="s">
        <v>8</v>
      </c>
      <c r="B8" s="286"/>
      <c r="C8" s="13">
        <f>C11+C15+C19+C23+C27+C29+C31</f>
        <v>-191.10000000000002</v>
      </c>
      <c r="D8" s="217">
        <f>D11+D15+D19+D23+D27+D29+D31</f>
        <v>-91.59</v>
      </c>
      <c r="E8" s="217">
        <f>E11+E15+E19+E23+E27+E29+E31</f>
        <v>-97.503</v>
      </c>
      <c r="F8" s="11">
        <f t="shared" si="0"/>
        <v>-380.19300000000004</v>
      </c>
      <c r="G8" s="15">
        <f>G11+G19+G23</f>
        <v>2051</v>
      </c>
      <c r="H8" s="13">
        <f>H11+H15+H19+H23+H27+H29+H31</f>
        <v>-106.10000000000001</v>
      </c>
      <c r="I8" s="217">
        <f>I11+I15+I19+I23+I27+I29+I31</f>
        <v>-89.7</v>
      </c>
      <c r="J8" s="217">
        <f>J11+J15+J19+J23+J27+J29+J31</f>
        <v>-96</v>
      </c>
      <c r="K8" s="217">
        <f>SUM(H8:J8)</f>
        <v>-291.8</v>
      </c>
      <c r="L8" s="15">
        <f>L11+L19+L23</f>
        <v>2301</v>
      </c>
      <c r="M8" s="287"/>
      <c r="N8" s="288"/>
    </row>
    <row r="9" spans="1:16" x14ac:dyDescent="0.25">
      <c r="A9" s="285" t="s">
        <v>9</v>
      </c>
      <c r="B9" s="286"/>
      <c r="C9" s="16">
        <f>C6+C8+C7</f>
        <v>6.8031645508560779E-2</v>
      </c>
      <c r="D9" s="218">
        <f>D6+D8</f>
        <v>3.1499999999908823E-3</v>
      </c>
      <c r="E9" s="218">
        <f>E6+E8</f>
        <v>1.0420318361980208E-2</v>
      </c>
      <c r="F9" s="11">
        <f t="shared" si="0"/>
        <v>8.1601963870531868E-2</v>
      </c>
      <c r="G9" s="17"/>
      <c r="H9" s="16">
        <f>H6+H8+H7</f>
        <v>91.894060549999992</v>
      </c>
      <c r="I9" s="218">
        <f>I6+I8</f>
        <v>1.6899999999999977</v>
      </c>
      <c r="J9" s="218">
        <f>J6+J8</f>
        <v>1.2000000000000028</v>
      </c>
      <c r="K9" s="218">
        <f>SUM(H9:J9)</f>
        <v>94.784060549999992</v>
      </c>
      <c r="L9" s="17"/>
      <c r="M9" s="287"/>
      <c r="N9" s="288"/>
      <c r="P9" s="18"/>
    </row>
    <row r="10" spans="1:16" ht="15.75" thickBot="1" x14ac:dyDescent="0.3">
      <c r="A10" s="20" t="s">
        <v>10</v>
      </c>
      <c r="B10" s="19"/>
      <c r="C10" s="20"/>
      <c r="D10" s="21"/>
      <c r="E10" s="21"/>
      <c r="F10" s="21"/>
      <c r="G10" s="22"/>
      <c r="H10" s="23"/>
      <c r="I10" s="24"/>
      <c r="J10" s="24"/>
      <c r="K10" s="24"/>
      <c r="L10" s="22"/>
      <c r="M10" s="21"/>
      <c r="N10" s="22"/>
    </row>
    <row r="11" spans="1:16" ht="15" customHeight="1" outlineLevel="1" x14ac:dyDescent="0.25">
      <c r="A11" s="254"/>
      <c r="B11" s="270" t="s">
        <v>11</v>
      </c>
      <c r="C11" s="29">
        <f t="shared" ref="C11:G11" si="1">SUM(C12:C14)</f>
        <v>-11.899999999999999</v>
      </c>
      <c r="D11" s="30">
        <f t="shared" si="1"/>
        <v>-25.890000000000004</v>
      </c>
      <c r="E11" s="30">
        <f t="shared" si="1"/>
        <v>-27.003000000000004</v>
      </c>
      <c r="F11" s="30">
        <f t="shared" ref="F11:F28" si="2">SUM(C11:E11)</f>
        <v>-64.793000000000006</v>
      </c>
      <c r="G11" s="31">
        <f t="shared" si="1"/>
        <v>626</v>
      </c>
      <c r="H11" s="29">
        <f>SUM(H12:H14)</f>
        <v>-18.5</v>
      </c>
      <c r="I11" s="30">
        <f>SUM(I12:I14)</f>
        <v>-24.4</v>
      </c>
      <c r="J11" s="30">
        <f>SUM(J12:J14)</f>
        <v>-21.9</v>
      </c>
      <c r="K11" s="30">
        <f t="shared" ref="K11:K27" si="3">SUM(H11:J11)</f>
        <v>-64.8</v>
      </c>
      <c r="L11" s="31">
        <f>SUM(L12:L14)</f>
        <v>626</v>
      </c>
      <c r="M11" s="256"/>
      <c r="N11" s="291"/>
    </row>
    <row r="12" spans="1:16" ht="30" outlineLevel="1" x14ac:dyDescent="0.25">
      <c r="A12" s="248" t="s">
        <v>12</v>
      </c>
      <c r="B12" s="267" t="s">
        <v>13</v>
      </c>
      <c r="C12" s="32">
        <v>-1.2</v>
      </c>
      <c r="D12" s="193">
        <v>-2.19</v>
      </c>
      <c r="E12" s="193">
        <v>-4.8029999999999999</v>
      </c>
      <c r="F12" s="193">
        <f t="shared" si="2"/>
        <v>-8.1929999999999996</v>
      </c>
      <c r="G12" s="27"/>
      <c r="H12" s="33">
        <v>-1.2</v>
      </c>
      <c r="I12" s="223">
        <v>-2.2000000000000002</v>
      </c>
      <c r="J12" s="223">
        <v>-4.8</v>
      </c>
      <c r="K12" s="223">
        <f t="shared" si="3"/>
        <v>-8.1999999999999993</v>
      </c>
      <c r="L12" s="27"/>
      <c r="M12" s="250" t="s">
        <v>14</v>
      </c>
      <c r="N12" s="292" t="s">
        <v>15</v>
      </c>
      <c r="O12" s="1"/>
    </row>
    <row r="13" spans="1:16" ht="30" outlineLevel="1" x14ac:dyDescent="0.25">
      <c r="A13" s="252"/>
      <c r="B13" s="268" t="s">
        <v>16</v>
      </c>
      <c r="C13" s="377">
        <v>-10.7</v>
      </c>
      <c r="D13" s="35">
        <v>-23.700000000000003</v>
      </c>
      <c r="E13" s="35">
        <v>-17.200000000000003</v>
      </c>
      <c r="F13" s="35">
        <f t="shared" si="2"/>
        <v>-51.600000000000009</v>
      </c>
      <c r="G13" s="27">
        <v>339</v>
      </c>
      <c r="H13" s="36">
        <v>-17.3</v>
      </c>
      <c r="I13" s="221">
        <v>-22.2</v>
      </c>
      <c r="J13" s="221">
        <v>-12.1</v>
      </c>
      <c r="K13" s="221">
        <f t="shared" si="3"/>
        <v>-51.6</v>
      </c>
      <c r="L13" s="27">
        <v>339</v>
      </c>
      <c r="M13" s="250" t="s">
        <v>17</v>
      </c>
      <c r="N13" s="292" t="s">
        <v>18</v>
      </c>
      <c r="O13" s="1"/>
    </row>
    <row r="14" spans="1:16" ht="30" outlineLevel="1" x14ac:dyDescent="0.25">
      <c r="A14" s="252"/>
      <c r="B14" s="268" t="s">
        <v>19</v>
      </c>
      <c r="C14" s="34"/>
      <c r="D14" s="37">
        <v>0</v>
      </c>
      <c r="E14" s="35">
        <v>-5</v>
      </c>
      <c r="F14" s="35">
        <f t="shared" si="2"/>
        <v>-5</v>
      </c>
      <c r="G14" s="27">
        <v>287</v>
      </c>
      <c r="H14" s="28"/>
      <c r="I14" s="219"/>
      <c r="J14" s="223">
        <v>-5</v>
      </c>
      <c r="K14" s="223">
        <f t="shared" si="3"/>
        <v>-5</v>
      </c>
      <c r="L14" s="27">
        <v>287</v>
      </c>
      <c r="M14" s="250" t="s">
        <v>14</v>
      </c>
      <c r="N14" s="292" t="s">
        <v>117</v>
      </c>
    </row>
    <row r="15" spans="1:16" ht="30" outlineLevel="1" x14ac:dyDescent="0.25">
      <c r="A15" s="259"/>
      <c r="B15" s="247" t="s">
        <v>20</v>
      </c>
      <c r="C15" s="38">
        <f>SUM(C16:C18)</f>
        <v>-70.599999999999994</v>
      </c>
      <c r="D15" s="45">
        <f>SUM(D16:D18)</f>
        <v>-12</v>
      </c>
      <c r="E15" s="45">
        <f>SUM(E16:E18)</f>
        <v>-15.3</v>
      </c>
      <c r="F15" s="45">
        <f t="shared" si="2"/>
        <v>-97.899999999999991</v>
      </c>
      <c r="G15" s="39" t="s">
        <v>21</v>
      </c>
      <c r="H15" s="40">
        <f>SUM(H16:H18)</f>
        <v>-70.900000000000006</v>
      </c>
      <c r="I15" s="222">
        <f>SUM(I16:I18)</f>
        <v>-1.8</v>
      </c>
      <c r="J15" s="222">
        <f>SUM(J16:J18)</f>
        <v>-7</v>
      </c>
      <c r="K15" s="222">
        <f t="shared" si="3"/>
        <v>-79.7</v>
      </c>
      <c r="L15" s="39" t="s">
        <v>21</v>
      </c>
      <c r="M15" s="260"/>
      <c r="N15" s="293"/>
    </row>
    <row r="16" spans="1:16" ht="15" customHeight="1" outlineLevel="1" x14ac:dyDescent="0.25">
      <c r="A16" s="252"/>
      <c r="B16" s="294" t="s">
        <v>22</v>
      </c>
      <c r="C16" s="361">
        <f>-65</f>
        <v>-65</v>
      </c>
      <c r="D16" s="44">
        <v>-4</v>
      </c>
      <c r="E16" s="44">
        <v>-3.3</v>
      </c>
      <c r="F16" s="44">
        <f t="shared" si="2"/>
        <v>-72.3</v>
      </c>
      <c r="G16" s="362"/>
      <c r="H16" s="363">
        <f>-52-6.5</f>
        <v>-58.5</v>
      </c>
      <c r="I16" s="223"/>
      <c r="J16" s="223"/>
      <c r="K16" s="223">
        <f t="shared" si="3"/>
        <v>-58.5</v>
      </c>
      <c r="L16" s="41"/>
      <c r="M16" s="250" t="s">
        <v>23</v>
      </c>
      <c r="N16" s="251"/>
    </row>
    <row r="17" spans="1:14" ht="30" outlineLevel="1" x14ac:dyDescent="0.25">
      <c r="A17" s="252"/>
      <c r="B17" s="294" t="s">
        <v>137</v>
      </c>
      <c r="C17" s="361">
        <f>-5.6</f>
        <v>-5.6</v>
      </c>
      <c r="D17" s="44"/>
      <c r="E17" s="44"/>
      <c r="F17" s="44">
        <f t="shared" si="2"/>
        <v>-5.6</v>
      </c>
      <c r="G17" s="41"/>
      <c r="H17" s="363">
        <v>-12.4</v>
      </c>
      <c r="I17" s="223"/>
      <c r="J17" s="223"/>
      <c r="K17" s="223">
        <f t="shared" si="3"/>
        <v>-12.4</v>
      </c>
      <c r="L17" s="41"/>
      <c r="M17" s="250" t="s">
        <v>23</v>
      </c>
      <c r="N17" s="251" t="s">
        <v>138</v>
      </c>
    </row>
    <row r="18" spans="1:14" outlineLevel="1" x14ac:dyDescent="0.25">
      <c r="A18" s="252"/>
      <c r="B18" s="294" t="s">
        <v>24</v>
      </c>
      <c r="C18" s="43">
        <v>0</v>
      </c>
      <c r="D18" s="44">
        <v>-8</v>
      </c>
      <c r="E18" s="44">
        <v>-12</v>
      </c>
      <c r="F18" s="44">
        <f t="shared" si="2"/>
        <v>-20</v>
      </c>
      <c r="G18" s="41"/>
      <c r="H18" s="42"/>
      <c r="I18" s="223">
        <v>-1.8</v>
      </c>
      <c r="J18" s="223">
        <v>-7</v>
      </c>
      <c r="K18" s="223">
        <f t="shared" si="3"/>
        <v>-8.8000000000000007</v>
      </c>
      <c r="L18" s="41"/>
      <c r="M18" s="250" t="s">
        <v>14</v>
      </c>
      <c r="N18" s="251"/>
    </row>
    <row r="19" spans="1:14" ht="15" customHeight="1" outlineLevel="1" x14ac:dyDescent="0.25">
      <c r="A19" s="259"/>
      <c r="B19" s="264" t="s">
        <v>25</v>
      </c>
      <c r="C19" s="38">
        <f t="shared" ref="C19:G19" si="4">SUM(C20:C22)</f>
        <v>-5.8</v>
      </c>
      <c r="D19" s="45">
        <f t="shared" si="4"/>
        <v>-39</v>
      </c>
      <c r="E19" s="45">
        <f t="shared" si="4"/>
        <v>-43.900000000000006</v>
      </c>
      <c r="F19" s="45">
        <f t="shared" si="2"/>
        <v>-88.7</v>
      </c>
      <c r="G19" s="46">
        <f t="shared" si="4"/>
        <v>1075</v>
      </c>
      <c r="H19" s="40">
        <f>SUM(H20:H22)</f>
        <v>-5.8</v>
      </c>
      <c r="I19" s="222">
        <f>SUM(I20:I22)</f>
        <v>-46.5</v>
      </c>
      <c r="J19" s="222">
        <f>SUM(J20:J22)</f>
        <v>-51.599999999999994</v>
      </c>
      <c r="K19" s="45">
        <f t="shared" si="3"/>
        <v>-103.89999999999999</v>
      </c>
      <c r="L19" s="46">
        <f t="shared" ref="L19" si="5">SUM(L20:L22)</f>
        <v>1275</v>
      </c>
      <c r="M19" s="260"/>
      <c r="N19" s="293"/>
    </row>
    <row r="20" spans="1:14" ht="15" customHeight="1" outlineLevel="1" x14ac:dyDescent="0.25">
      <c r="A20" s="248" t="s">
        <v>12</v>
      </c>
      <c r="B20" s="267" t="s">
        <v>26</v>
      </c>
      <c r="C20" s="32">
        <v>-5.8</v>
      </c>
      <c r="D20" s="193">
        <v>-12.4</v>
      </c>
      <c r="E20" s="193">
        <v>-12.7</v>
      </c>
      <c r="F20" s="193">
        <f t="shared" si="2"/>
        <v>-30.9</v>
      </c>
      <c r="G20" s="47">
        <v>325</v>
      </c>
      <c r="H20" s="33">
        <v>-5.8</v>
      </c>
      <c r="I20" s="223">
        <v>-12.4</v>
      </c>
      <c r="J20" s="223">
        <v>-12.7</v>
      </c>
      <c r="K20" s="193">
        <f t="shared" si="3"/>
        <v>-30.9</v>
      </c>
      <c r="L20" s="47">
        <f t="shared" ref="L20:L21" si="6">G20</f>
        <v>325</v>
      </c>
      <c r="M20" s="250" t="s">
        <v>27</v>
      </c>
      <c r="N20" s="292" t="s">
        <v>28</v>
      </c>
    </row>
    <row r="21" spans="1:14" ht="15" customHeight="1" outlineLevel="1" x14ac:dyDescent="0.25">
      <c r="A21" s="252"/>
      <c r="B21" s="268" t="s">
        <v>26</v>
      </c>
      <c r="C21" s="48">
        <v>0</v>
      </c>
      <c r="D21" s="49">
        <v>-22.6</v>
      </c>
      <c r="E21" s="49">
        <v>-27.200000000000003</v>
      </c>
      <c r="F21" s="49">
        <f t="shared" si="2"/>
        <v>-49.800000000000004</v>
      </c>
      <c r="G21" s="27">
        <v>650</v>
      </c>
      <c r="H21" s="36">
        <v>0</v>
      </c>
      <c r="I21" s="221">
        <v>-22.6</v>
      </c>
      <c r="J21" s="221">
        <v>-27.1</v>
      </c>
      <c r="K21" s="49">
        <f t="shared" si="3"/>
        <v>-49.7</v>
      </c>
      <c r="L21" s="27">
        <f t="shared" si="6"/>
        <v>650</v>
      </c>
      <c r="M21" s="250" t="s">
        <v>27</v>
      </c>
      <c r="N21" s="292" t="s">
        <v>139</v>
      </c>
    </row>
    <row r="22" spans="1:14" ht="27.75" customHeight="1" outlineLevel="1" x14ac:dyDescent="0.25">
      <c r="A22" s="252"/>
      <c r="B22" s="50" t="s">
        <v>26</v>
      </c>
      <c r="C22" s="48"/>
      <c r="D22" s="49">
        <v>-4</v>
      </c>
      <c r="E22" s="49">
        <v>-4</v>
      </c>
      <c r="F22" s="49">
        <f t="shared" si="2"/>
        <v>-8</v>
      </c>
      <c r="G22" s="27">
        <v>100</v>
      </c>
      <c r="H22" s="36"/>
      <c r="I22" s="223">
        <v>-11.5</v>
      </c>
      <c r="J22" s="223">
        <v>-11.8</v>
      </c>
      <c r="K22" s="49">
        <f t="shared" si="3"/>
        <v>-23.3</v>
      </c>
      <c r="L22" s="51">
        <v>300</v>
      </c>
      <c r="M22" s="250" t="s">
        <v>27</v>
      </c>
      <c r="N22" s="292" t="s">
        <v>29</v>
      </c>
    </row>
    <row r="23" spans="1:14" outlineLevel="1" x14ac:dyDescent="0.25">
      <c r="A23" s="259"/>
      <c r="B23" s="247" t="s">
        <v>30</v>
      </c>
      <c r="C23" s="52">
        <f>SUM(C24:C25)</f>
        <v>-4.7</v>
      </c>
      <c r="D23" s="53">
        <f>SUM(D24:D25)</f>
        <v>-14.7</v>
      </c>
      <c r="E23" s="53">
        <f>SUM(E24:E25)</f>
        <v>-11.3</v>
      </c>
      <c r="F23" s="53">
        <f t="shared" si="2"/>
        <v>-30.7</v>
      </c>
      <c r="G23" s="54">
        <f>SUM(G24:G25)</f>
        <v>350</v>
      </c>
      <c r="H23" s="40">
        <v>-4.7</v>
      </c>
      <c r="I23" s="222">
        <v>-17</v>
      </c>
      <c r="J23" s="222">
        <v>-15.5</v>
      </c>
      <c r="K23" s="53">
        <f t="shared" si="3"/>
        <v>-37.200000000000003</v>
      </c>
      <c r="L23" s="54">
        <f>SUM(L24:L26)</f>
        <v>400</v>
      </c>
      <c r="M23" s="260"/>
      <c r="N23" s="293"/>
    </row>
    <row r="24" spans="1:14" ht="30" outlineLevel="1" x14ac:dyDescent="0.25">
      <c r="A24" s="248" t="s">
        <v>12</v>
      </c>
      <c r="B24" s="267" t="s">
        <v>31</v>
      </c>
      <c r="C24" s="32">
        <v>-4.7</v>
      </c>
      <c r="D24" s="193">
        <v>-6.9</v>
      </c>
      <c r="E24" s="193">
        <v>-5.3</v>
      </c>
      <c r="F24" s="193">
        <f t="shared" si="2"/>
        <v>-16.900000000000002</v>
      </c>
      <c r="G24" s="47">
        <v>165</v>
      </c>
      <c r="H24" s="33">
        <v>-4.7</v>
      </c>
      <c r="I24" s="223">
        <v>-6.9</v>
      </c>
      <c r="J24" s="223">
        <v>-5.3</v>
      </c>
      <c r="K24" s="193">
        <f t="shared" si="3"/>
        <v>-16.900000000000002</v>
      </c>
      <c r="L24" s="47">
        <v>165</v>
      </c>
      <c r="M24" s="250" t="s">
        <v>32</v>
      </c>
      <c r="N24" s="292" t="s">
        <v>33</v>
      </c>
    </row>
    <row r="25" spans="1:14" ht="30" outlineLevel="1" x14ac:dyDescent="0.25">
      <c r="A25" s="252"/>
      <c r="B25" s="268" t="s">
        <v>31</v>
      </c>
      <c r="C25" s="34">
        <v>0</v>
      </c>
      <c r="D25" s="35">
        <v>-7.8</v>
      </c>
      <c r="E25" s="35">
        <v>-6</v>
      </c>
      <c r="F25" s="35">
        <f t="shared" si="2"/>
        <v>-13.8</v>
      </c>
      <c r="G25" s="27">
        <v>185</v>
      </c>
      <c r="H25" s="36">
        <v>0</v>
      </c>
      <c r="I25" s="221">
        <v>-7.8</v>
      </c>
      <c r="J25" s="221">
        <v>-7.8</v>
      </c>
      <c r="K25" s="35">
        <f t="shared" si="3"/>
        <v>-15.6</v>
      </c>
      <c r="L25" s="27">
        <v>185</v>
      </c>
      <c r="M25" s="250" t="s">
        <v>32</v>
      </c>
      <c r="N25" s="292"/>
    </row>
    <row r="26" spans="1:14" ht="30" outlineLevel="1" x14ac:dyDescent="0.25">
      <c r="A26" s="252"/>
      <c r="B26" s="268" t="s">
        <v>31</v>
      </c>
      <c r="C26" s="34"/>
      <c r="D26" s="37"/>
      <c r="E26" s="37"/>
      <c r="F26" s="37">
        <f t="shared" si="2"/>
        <v>0</v>
      </c>
      <c r="G26" s="27"/>
      <c r="H26" s="28"/>
      <c r="I26" s="221">
        <v>-2.2999999999999998</v>
      </c>
      <c r="J26" s="221">
        <v>-2.4</v>
      </c>
      <c r="K26" s="37">
        <f t="shared" si="3"/>
        <v>-4.6999999999999993</v>
      </c>
      <c r="L26" s="27">
        <v>50</v>
      </c>
      <c r="M26" s="250" t="s">
        <v>32</v>
      </c>
      <c r="N26" s="292" t="s">
        <v>34</v>
      </c>
    </row>
    <row r="27" spans="1:14" outlineLevel="1" x14ac:dyDescent="0.25">
      <c r="A27" s="295" t="s">
        <v>12</v>
      </c>
      <c r="B27" s="296" t="s">
        <v>35</v>
      </c>
      <c r="C27" s="55">
        <f>SUM(C28)</f>
        <v>-91.9</v>
      </c>
      <c r="D27" s="45">
        <v>0</v>
      </c>
      <c r="E27" s="45">
        <v>0</v>
      </c>
      <c r="F27" s="45">
        <f t="shared" si="2"/>
        <v>-91.9</v>
      </c>
      <c r="G27" s="39" t="s">
        <v>36</v>
      </c>
      <c r="H27" s="56">
        <v>0</v>
      </c>
      <c r="I27" s="45">
        <v>0</v>
      </c>
      <c r="J27" s="45">
        <v>0</v>
      </c>
      <c r="K27" s="45">
        <f t="shared" si="3"/>
        <v>0</v>
      </c>
      <c r="L27" s="39"/>
      <c r="M27" s="260"/>
      <c r="N27" s="293"/>
    </row>
    <row r="28" spans="1:14" ht="48.75" outlineLevel="1" x14ac:dyDescent="0.25">
      <c r="A28" s="248"/>
      <c r="B28" s="268" t="s">
        <v>178</v>
      </c>
      <c r="C28" s="32">
        <v>-91.9</v>
      </c>
      <c r="D28" s="58"/>
      <c r="E28" s="58"/>
      <c r="F28" s="35">
        <f t="shared" si="2"/>
        <v>-91.9</v>
      </c>
      <c r="G28" s="59"/>
      <c r="H28" s="60"/>
      <c r="I28" s="234"/>
      <c r="J28" s="234"/>
      <c r="K28" s="58"/>
      <c r="L28" s="59"/>
      <c r="M28" s="298"/>
      <c r="N28" s="292" t="s">
        <v>177</v>
      </c>
    </row>
    <row r="29" spans="1:14" ht="30" outlineLevel="1" x14ac:dyDescent="0.25">
      <c r="A29" s="295" t="s">
        <v>12</v>
      </c>
      <c r="B29" s="296" t="s">
        <v>37</v>
      </c>
      <c r="C29" s="61">
        <f>-5.8</f>
        <v>-5.8</v>
      </c>
      <c r="D29" s="45">
        <v>0</v>
      </c>
      <c r="E29" s="45">
        <v>0</v>
      </c>
      <c r="F29" s="45">
        <f>SUM(C29:E29)</f>
        <v>-5.8</v>
      </c>
      <c r="G29" s="39" t="s">
        <v>36</v>
      </c>
      <c r="H29" s="56">
        <v>-5.8</v>
      </c>
      <c r="I29" s="45">
        <v>0</v>
      </c>
      <c r="J29" s="45">
        <v>0</v>
      </c>
      <c r="K29" s="45">
        <f>SUM(H29:J29)</f>
        <v>-5.8</v>
      </c>
      <c r="L29" s="39"/>
      <c r="M29" s="260"/>
      <c r="N29" s="293"/>
    </row>
    <row r="30" spans="1:14" outlineLevel="1" x14ac:dyDescent="0.25">
      <c r="A30" s="248"/>
      <c r="B30" s="297"/>
      <c r="C30" s="57"/>
      <c r="D30" s="58"/>
      <c r="E30" s="58"/>
      <c r="F30" s="58"/>
      <c r="G30" s="59"/>
      <c r="H30" s="60"/>
      <c r="I30" s="234"/>
      <c r="J30" s="234"/>
      <c r="K30" s="58"/>
      <c r="L30" s="59"/>
      <c r="M30" s="300"/>
      <c r="N30" s="299"/>
    </row>
    <row r="31" spans="1:14" outlineLevel="1" x14ac:dyDescent="0.25">
      <c r="A31" s="295" t="s">
        <v>12</v>
      </c>
      <c r="B31" s="296" t="s">
        <v>38</v>
      </c>
      <c r="C31" s="55">
        <v>-0.4</v>
      </c>
      <c r="D31" s="45">
        <v>0</v>
      </c>
      <c r="E31" s="45">
        <v>0</v>
      </c>
      <c r="F31" s="45">
        <f>SUM(C31:E31)</f>
        <v>-0.4</v>
      </c>
      <c r="G31" s="39" t="s">
        <v>36</v>
      </c>
      <c r="H31" s="56">
        <v>-0.4</v>
      </c>
      <c r="I31" s="45">
        <v>0</v>
      </c>
      <c r="J31" s="45">
        <v>0</v>
      </c>
      <c r="K31" s="45">
        <f>SUM(H31:J31)</f>
        <v>-0.4</v>
      </c>
      <c r="L31" s="39"/>
      <c r="M31" s="260"/>
      <c r="N31" s="293"/>
    </row>
    <row r="32" spans="1:14" ht="15" customHeight="1" outlineLevel="1" thickBot="1" x14ac:dyDescent="0.3">
      <c r="A32" s="301"/>
      <c r="B32" s="62"/>
      <c r="C32" s="63"/>
      <c r="D32" s="64"/>
      <c r="E32" s="64"/>
      <c r="F32" s="64"/>
      <c r="G32" s="65"/>
      <c r="H32" s="66"/>
      <c r="I32" s="67"/>
      <c r="J32" s="67"/>
      <c r="K32" s="67"/>
      <c r="L32" s="65"/>
      <c r="M32" s="68"/>
      <c r="N32" s="302"/>
    </row>
    <row r="33" spans="1:15" ht="15" customHeight="1" thickBot="1" x14ac:dyDescent="0.3">
      <c r="A33" s="252"/>
      <c r="B33" s="289"/>
      <c r="C33" s="69"/>
      <c r="D33" s="70"/>
      <c r="E33" s="70"/>
      <c r="F33" s="70"/>
      <c r="G33" s="27"/>
      <c r="H33" s="28"/>
      <c r="I33" s="219"/>
      <c r="J33" s="219"/>
      <c r="K33" s="219"/>
      <c r="L33" s="27"/>
      <c r="M33" s="250"/>
      <c r="N33" s="290"/>
    </row>
    <row r="34" spans="1:15" ht="15" customHeight="1" thickBot="1" x14ac:dyDescent="0.3">
      <c r="A34" s="252"/>
      <c r="B34" s="289"/>
      <c r="C34" s="392" t="s">
        <v>163</v>
      </c>
      <c r="D34" s="393"/>
      <c r="E34" s="393"/>
      <c r="F34" s="393"/>
      <c r="G34" s="394"/>
      <c r="H34" s="392" t="s">
        <v>164</v>
      </c>
      <c r="I34" s="393"/>
      <c r="J34" s="393"/>
      <c r="K34" s="393"/>
      <c r="L34" s="394"/>
      <c r="M34" s="250"/>
      <c r="N34" s="290"/>
    </row>
    <row r="35" spans="1:15" ht="60" x14ac:dyDescent="0.25">
      <c r="A35" s="397" t="s">
        <v>39</v>
      </c>
      <c r="B35" s="398"/>
      <c r="C35" s="7" t="s">
        <v>1</v>
      </c>
      <c r="D35" s="8" t="s">
        <v>2</v>
      </c>
      <c r="E35" s="8" t="s">
        <v>3</v>
      </c>
      <c r="F35" s="198" t="s">
        <v>165</v>
      </c>
      <c r="G35" s="9" t="s">
        <v>4</v>
      </c>
      <c r="H35" s="7" t="s">
        <v>1</v>
      </c>
      <c r="I35" s="8" t="s">
        <v>2</v>
      </c>
      <c r="J35" s="8" t="s">
        <v>3</v>
      </c>
      <c r="K35" s="198" t="s">
        <v>165</v>
      </c>
      <c r="L35" s="9" t="s">
        <v>4</v>
      </c>
      <c r="M35" s="8" t="s">
        <v>5</v>
      </c>
      <c r="N35" s="9" t="s">
        <v>6</v>
      </c>
    </row>
    <row r="36" spans="1:15" ht="24.75" x14ac:dyDescent="0.25">
      <c r="A36" s="282" t="s">
        <v>7</v>
      </c>
      <c r="B36" s="283"/>
      <c r="C36" s="10">
        <v>84.371000250000009</v>
      </c>
      <c r="D36" s="11">
        <v>41.633249999999997</v>
      </c>
      <c r="E36" s="11">
        <v>44.324281962891803</v>
      </c>
      <c r="F36" s="11">
        <f>SUM(C36:E36)</f>
        <v>170.32853221289182</v>
      </c>
      <c r="G36" s="12"/>
      <c r="H36" s="13">
        <v>84.371000250000009</v>
      </c>
      <c r="I36" s="365">
        <v>41.54</v>
      </c>
      <c r="J36" s="365">
        <v>44.2</v>
      </c>
      <c r="K36" s="365">
        <f>SUM(H36:J36)</f>
        <v>170.11100025000002</v>
      </c>
      <c r="L36" s="12"/>
      <c r="M36" s="284"/>
      <c r="N36" s="380" t="s">
        <v>169</v>
      </c>
    </row>
    <row r="37" spans="1:15" x14ac:dyDescent="0.25">
      <c r="A37" s="282" t="s">
        <v>133</v>
      </c>
      <c r="B37" s="283"/>
      <c r="C37" s="10">
        <f>C130*-0.25</f>
        <v>2.5235595888675366</v>
      </c>
      <c r="D37" s="11"/>
      <c r="E37" s="11"/>
      <c r="F37" s="11">
        <f t="shared" ref="F37:F39" si="7">SUM(C37:E37)</f>
        <v>2.5235595888675366</v>
      </c>
      <c r="G37" s="12"/>
      <c r="H37" s="13">
        <f>0.25*-H$130</f>
        <v>5.626299999999997</v>
      </c>
      <c r="I37" s="217"/>
      <c r="J37" s="217"/>
      <c r="K37" s="217">
        <f>SUM(H37:J37)</f>
        <v>5.626299999999997</v>
      </c>
      <c r="L37" s="14"/>
      <c r="M37" s="284"/>
      <c r="N37" s="380" t="s">
        <v>136</v>
      </c>
    </row>
    <row r="38" spans="1:15" ht="15" customHeight="1" x14ac:dyDescent="0.25">
      <c r="A38" s="285" t="s">
        <v>8</v>
      </c>
      <c r="B38" s="286"/>
      <c r="C38" s="16">
        <f>C41+C45+C48</f>
        <v>-86.825000000000003</v>
      </c>
      <c r="D38" s="218">
        <f>D41+D45</f>
        <v>-37.4</v>
      </c>
      <c r="E38" s="218">
        <f>E41+E45</f>
        <v>-19.5</v>
      </c>
      <c r="F38" s="11">
        <f t="shared" si="7"/>
        <v>-143.72499999999999</v>
      </c>
      <c r="G38" s="15">
        <f>G45</f>
        <v>350</v>
      </c>
      <c r="H38" s="16">
        <f>H41+H45+H48</f>
        <v>-89.924999999999997</v>
      </c>
      <c r="I38" s="218">
        <f>I41+I45</f>
        <v>-32.299999999999997</v>
      </c>
      <c r="J38" s="218">
        <f>J41+J45</f>
        <v>-21.9</v>
      </c>
      <c r="K38" s="218">
        <f>SUM(H38:J38)</f>
        <v>-144.125</v>
      </c>
      <c r="L38" s="15">
        <f>L45</f>
        <v>350</v>
      </c>
      <c r="M38" s="287"/>
      <c r="N38" s="288"/>
    </row>
    <row r="39" spans="1:15" x14ac:dyDescent="0.25">
      <c r="A39" s="285" t="s">
        <v>9</v>
      </c>
      <c r="B39" s="286"/>
      <c r="C39" s="16">
        <f>C36+C38+C37</f>
        <v>6.9559838867542467E-2</v>
      </c>
      <c r="D39" s="218">
        <f>D36+D38</f>
        <v>4.2332499999999982</v>
      </c>
      <c r="E39" s="218">
        <f>E36+E38</f>
        <v>24.824281962891803</v>
      </c>
      <c r="F39" s="11">
        <f t="shared" si="7"/>
        <v>29.127091801759342</v>
      </c>
      <c r="G39" s="17"/>
      <c r="H39" s="16">
        <f>H36+H38+H37</f>
        <v>7.2300250000008504E-2</v>
      </c>
      <c r="I39" s="218">
        <f>I36+I38</f>
        <v>9.240000000000002</v>
      </c>
      <c r="J39" s="218">
        <f>J36+J38</f>
        <v>22.300000000000004</v>
      </c>
      <c r="K39" s="218">
        <f>SUM(H39:J39)</f>
        <v>31.612300250000015</v>
      </c>
      <c r="L39" s="17"/>
      <c r="M39" s="287"/>
      <c r="N39" s="288"/>
    </row>
    <row r="40" spans="1:15" ht="15.75" thickBot="1" x14ac:dyDescent="0.3">
      <c r="A40" s="303" t="s">
        <v>10</v>
      </c>
      <c r="B40" s="19"/>
      <c r="C40" s="71"/>
      <c r="D40" s="72"/>
      <c r="E40" s="72"/>
      <c r="F40" s="72"/>
      <c r="G40" s="73"/>
      <c r="H40" s="71"/>
      <c r="I40" s="72"/>
      <c r="J40" s="72"/>
      <c r="K40" s="72"/>
      <c r="L40" s="73"/>
      <c r="M40" s="74"/>
      <c r="N40" s="304"/>
    </row>
    <row r="41" spans="1:15" s="1" customFormat="1" ht="30" outlineLevel="2" x14ac:dyDescent="0.25">
      <c r="A41" s="246"/>
      <c r="B41" s="247" t="s">
        <v>20</v>
      </c>
      <c r="C41" s="75">
        <f>SUM(C42:C44)</f>
        <v>-86</v>
      </c>
      <c r="D41" s="76">
        <f>D42+D44</f>
        <v>-23.5</v>
      </c>
      <c r="E41" s="76">
        <f>E42+E44</f>
        <v>-5.0999999999999996</v>
      </c>
      <c r="F41" s="76">
        <f t="shared" ref="F41:F48" si="8">SUM(C41:E41)</f>
        <v>-114.6</v>
      </c>
      <c r="G41" s="39" t="s">
        <v>21</v>
      </c>
      <c r="H41" s="40">
        <f>SUM(H42:H44)</f>
        <v>-89.1</v>
      </c>
      <c r="I41" s="222">
        <v>-18.399999999999999</v>
      </c>
      <c r="J41" s="222">
        <v>-7.5</v>
      </c>
      <c r="K41" s="76">
        <f t="shared" ref="K41:K48" si="9">SUM(H41:J41)</f>
        <v>-115</v>
      </c>
      <c r="L41" s="39" t="s">
        <v>21</v>
      </c>
      <c r="M41" s="76"/>
      <c r="N41" s="39"/>
    </row>
    <row r="42" spans="1:15" ht="72.75" outlineLevel="2" x14ac:dyDescent="0.25">
      <c r="A42" s="252"/>
      <c r="B42" s="268" t="s">
        <v>40</v>
      </c>
      <c r="C42" s="95">
        <f>-83.5</f>
        <v>-83.5</v>
      </c>
      <c r="D42" s="78">
        <v>-18.5</v>
      </c>
      <c r="E42" s="26">
        <v>0</v>
      </c>
      <c r="F42" s="26">
        <f t="shared" si="8"/>
        <v>-102</v>
      </c>
      <c r="G42" s="27"/>
      <c r="H42" s="77">
        <v>-83.5</v>
      </c>
      <c r="I42" s="78">
        <v>-16.5</v>
      </c>
      <c r="J42" s="78">
        <v>0</v>
      </c>
      <c r="K42" s="26">
        <f t="shared" si="9"/>
        <v>-100</v>
      </c>
      <c r="L42" s="27"/>
      <c r="M42" s="250" t="s">
        <v>23</v>
      </c>
      <c r="N42" s="251" t="s">
        <v>166</v>
      </c>
    </row>
    <row r="43" spans="1:15" ht="30" outlineLevel="2" x14ac:dyDescent="0.25">
      <c r="A43" s="252"/>
      <c r="B43" s="294" t="s">
        <v>137</v>
      </c>
      <c r="C43" s="95">
        <v>-2.5</v>
      </c>
      <c r="D43" s="78"/>
      <c r="E43" s="26"/>
      <c r="F43" s="26">
        <f t="shared" si="8"/>
        <v>-2.5</v>
      </c>
      <c r="G43" s="27"/>
      <c r="H43" s="95">
        <v>-5.6</v>
      </c>
      <c r="I43" s="78"/>
      <c r="J43" s="78"/>
      <c r="K43" s="26">
        <f t="shared" si="9"/>
        <v>-5.6</v>
      </c>
      <c r="L43" s="27"/>
      <c r="M43" s="250" t="s">
        <v>23</v>
      </c>
      <c r="N43" s="251" t="s">
        <v>138</v>
      </c>
    </row>
    <row r="44" spans="1:15" outlineLevel="2" x14ac:dyDescent="0.25">
      <c r="A44" s="252"/>
      <c r="B44" s="268" t="s">
        <v>41</v>
      </c>
      <c r="C44" s="25">
        <v>0</v>
      </c>
      <c r="D44" s="26">
        <v>-5</v>
      </c>
      <c r="E44" s="26">
        <v>-5.0999999999999996</v>
      </c>
      <c r="F44" s="26">
        <f t="shared" si="8"/>
        <v>-10.1</v>
      </c>
      <c r="G44" s="27"/>
      <c r="H44" s="28"/>
      <c r="I44" s="78">
        <v>-1.9</v>
      </c>
      <c r="J44" s="78">
        <v>-7.5</v>
      </c>
      <c r="K44" s="26">
        <f t="shared" si="9"/>
        <v>-9.4</v>
      </c>
      <c r="L44" s="27"/>
      <c r="M44" s="250" t="s">
        <v>14</v>
      </c>
      <c r="N44" s="251"/>
    </row>
    <row r="45" spans="1:15" s="1" customFormat="1" outlineLevel="2" x14ac:dyDescent="0.25">
      <c r="A45" s="246"/>
      <c r="B45" s="247" t="s">
        <v>25</v>
      </c>
      <c r="C45" s="75">
        <f>SUM(C46:C46)</f>
        <v>-0.36899999999999999</v>
      </c>
      <c r="D45" s="76">
        <f t="shared" ref="D45:G45" si="10">SUM(D46:D47)</f>
        <v>-13.9</v>
      </c>
      <c r="E45" s="76">
        <f t="shared" si="10"/>
        <v>-14.4</v>
      </c>
      <c r="F45" s="76">
        <f t="shared" si="8"/>
        <v>-28.669</v>
      </c>
      <c r="G45" s="46">
        <f t="shared" si="10"/>
        <v>350</v>
      </c>
      <c r="H45" s="40">
        <v>-0.36899999999999999</v>
      </c>
      <c r="I45" s="222">
        <v>-13.9</v>
      </c>
      <c r="J45" s="222">
        <v>-14.4</v>
      </c>
      <c r="K45" s="76">
        <f t="shared" si="9"/>
        <v>-28.669</v>
      </c>
      <c r="L45" s="46">
        <v>350</v>
      </c>
      <c r="M45" s="76"/>
      <c r="N45" s="39"/>
      <c r="O45" s="79"/>
    </row>
    <row r="46" spans="1:15" ht="15" customHeight="1" outlineLevel="2" x14ac:dyDescent="0.25">
      <c r="A46" s="248" t="s">
        <v>12</v>
      </c>
      <c r="B46" s="267" t="s">
        <v>42</v>
      </c>
      <c r="C46" s="80">
        <v>-0.36899999999999999</v>
      </c>
      <c r="D46" s="78">
        <v>-1.9</v>
      </c>
      <c r="E46" s="78">
        <v>-2</v>
      </c>
      <c r="F46" s="78">
        <f t="shared" si="8"/>
        <v>-4.2690000000000001</v>
      </c>
      <c r="G46" s="47">
        <v>50</v>
      </c>
      <c r="H46" s="33">
        <v>-0.36899999999999999</v>
      </c>
      <c r="I46" s="223">
        <v>-1.9</v>
      </c>
      <c r="J46" s="223">
        <v>-2</v>
      </c>
      <c r="K46" s="78">
        <f t="shared" si="9"/>
        <v>-4.2690000000000001</v>
      </c>
      <c r="L46" s="47">
        <v>50</v>
      </c>
      <c r="M46" s="250" t="s">
        <v>27</v>
      </c>
      <c r="N46" s="290"/>
    </row>
    <row r="47" spans="1:15" ht="48.75" outlineLevel="2" x14ac:dyDescent="0.25">
      <c r="A47" s="252"/>
      <c r="B47" s="268" t="s">
        <v>42</v>
      </c>
      <c r="C47" s="25"/>
      <c r="D47" s="26">
        <v>-12</v>
      </c>
      <c r="E47" s="78">
        <v>-12.4</v>
      </c>
      <c r="F47" s="78">
        <f t="shared" si="8"/>
        <v>-24.4</v>
      </c>
      <c r="G47" s="27">
        <v>300</v>
      </c>
      <c r="H47" s="28"/>
      <c r="I47" s="26">
        <v>-12</v>
      </c>
      <c r="J47" s="78">
        <v>-12.4</v>
      </c>
      <c r="K47" s="78">
        <f t="shared" si="9"/>
        <v>-24.4</v>
      </c>
      <c r="L47" s="27">
        <v>300</v>
      </c>
      <c r="M47" s="250" t="s">
        <v>27</v>
      </c>
      <c r="N47" s="391" t="s">
        <v>206</v>
      </c>
    </row>
    <row r="48" spans="1:15" ht="30" outlineLevel="2" x14ac:dyDescent="0.25">
      <c r="A48" s="295" t="s">
        <v>12</v>
      </c>
      <c r="B48" s="296" t="s">
        <v>37</v>
      </c>
      <c r="C48" s="81">
        <v>-0.45600000000000002</v>
      </c>
      <c r="D48" s="82"/>
      <c r="E48" s="82"/>
      <c r="F48" s="378">
        <f t="shared" si="8"/>
        <v>-0.45600000000000002</v>
      </c>
      <c r="G48" s="83"/>
      <c r="H48" s="84">
        <v>-0.45600000000000002</v>
      </c>
      <c r="I48" s="235"/>
      <c r="J48" s="235"/>
      <c r="K48" s="378">
        <f t="shared" si="9"/>
        <v>-0.45600000000000002</v>
      </c>
      <c r="L48" s="83"/>
      <c r="M48" s="280"/>
      <c r="N48" s="83"/>
    </row>
    <row r="49" spans="1:14" ht="15.75" outlineLevel="2" thickBot="1" x14ac:dyDescent="0.3">
      <c r="A49" s="305"/>
      <c r="B49" s="62"/>
      <c r="C49" s="85">
        <v>0</v>
      </c>
      <c r="D49" s="86">
        <v>0</v>
      </c>
      <c r="E49" s="86">
        <v>0</v>
      </c>
      <c r="F49" s="86"/>
      <c r="G49" s="65"/>
      <c r="H49" s="66"/>
      <c r="I49" s="67"/>
      <c r="J49" s="67"/>
      <c r="K49" s="67"/>
      <c r="L49" s="65"/>
      <c r="M49" s="68"/>
      <c r="N49" s="65"/>
    </row>
    <row r="50" spans="1:14" ht="15.75" thickBot="1" x14ac:dyDescent="0.3">
      <c r="A50" s="205"/>
      <c r="B50" s="289"/>
      <c r="C50" s="25"/>
      <c r="D50" s="26"/>
      <c r="E50" s="26"/>
      <c r="F50" s="26"/>
      <c r="G50" s="27"/>
      <c r="H50" s="28"/>
      <c r="I50" s="219"/>
      <c r="J50" s="219"/>
      <c r="K50" s="219"/>
      <c r="L50" s="27"/>
      <c r="M50" s="250"/>
      <c r="N50" s="27"/>
    </row>
    <row r="51" spans="1:14" ht="15" customHeight="1" thickBot="1" x14ac:dyDescent="0.3">
      <c r="A51" s="205"/>
      <c r="B51" s="289"/>
      <c r="C51" s="392" t="s">
        <v>163</v>
      </c>
      <c r="D51" s="393"/>
      <c r="E51" s="393"/>
      <c r="F51" s="393"/>
      <c r="G51" s="394"/>
      <c r="H51" s="392" t="s">
        <v>164</v>
      </c>
      <c r="I51" s="393"/>
      <c r="J51" s="393"/>
      <c r="K51" s="393"/>
      <c r="L51" s="394"/>
      <c r="M51" s="250"/>
      <c r="N51" s="27"/>
    </row>
    <row r="52" spans="1:14" ht="60" x14ac:dyDescent="0.25">
      <c r="A52" s="397" t="s">
        <v>43</v>
      </c>
      <c r="B52" s="398"/>
      <c r="C52" s="7" t="s">
        <v>1</v>
      </c>
      <c r="D52" s="8" t="s">
        <v>2</v>
      </c>
      <c r="E52" s="8" t="s">
        <v>3</v>
      </c>
      <c r="F52" s="198" t="s">
        <v>165</v>
      </c>
      <c r="G52" s="9" t="s">
        <v>4</v>
      </c>
      <c r="H52" s="7" t="s">
        <v>1</v>
      </c>
      <c r="I52" s="8" t="s">
        <v>2</v>
      </c>
      <c r="J52" s="8" t="s">
        <v>3</v>
      </c>
      <c r="K52" s="198" t="s">
        <v>165</v>
      </c>
      <c r="L52" s="9" t="s">
        <v>4</v>
      </c>
      <c r="M52" s="8" t="s">
        <v>5</v>
      </c>
      <c r="N52" s="9" t="s">
        <v>6</v>
      </c>
    </row>
    <row r="53" spans="1:14" ht="24.75" x14ac:dyDescent="0.25">
      <c r="A53" s="282" t="s">
        <v>7</v>
      </c>
      <c r="B53" s="283"/>
      <c r="C53" s="10">
        <v>67.49680020000001</v>
      </c>
      <c r="D53" s="11">
        <v>33.306599999999996</v>
      </c>
      <c r="E53" s="11">
        <v>35.459425570313442</v>
      </c>
      <c r="F53" s="11">
        <f>SUM(C53:E53)</f>
        <v>136.26282577031344</v>
      </c>
      <c r="G53" s="12"/>
      <c r="H53" s="13">
        <v>67.49680020000001</v>
      </c>
      <c r="I53" s="365">
        <v>33.229999999999997</v>
      </c>
      <c r="J53" s="365">
        <v>35.4</v>
      </c>
      <c r="K53" s="11">
        <f>SUM(H53:J53)</f>
        <v>136.12680020000002</v>
      </c>
      <c r="L53" s="12"/>
      <c r="M53" s="284"/>
      <c r="N53" s="380" t="s">
        <v>169</v>
      </c>
    </row>
    <row r="54" spans="1:14" x14ac:dyDescent="0.25">
      <c r="A54" s="282" t="s">
        <v>133</v>
      </c>
      <c r="B54" s="283"/>
      <c r="C54" s="10">
        <f>C130*-0.2</f>
        <v>2.0188476710940293</v>
      </c>
      <c r="D54" s="11"/>
      <c r="E54" s="11"/>
      <c r="F54" s="11">
        <f t="shared" ref="F54:F56" si="11">SUM(C54:E54)</f>
        <v>2.0188476710940293</v>
      </c>
      <c r="G54" s="12"/>
      <c r="H54" s="13">
        <f>0.2*-H$130</f>
        <v>4.5010399999999979</v>
      </c>
      <c r="I54" s="217"/>
      <c r="J54" s="217"/>
      <c r="K54" s="11">
        <f t="shared" ref="K54:K56" si="12">SUM(H54:J54)</f>
        <v>4.5010399999999979</v>
      </c>
      <c r="L54" s="14"/>
      <c r="M54" s="284"/>
      <c r="N54" s="380" t="s">
        <v>135</v>
      </c>
    </row>
    <row r="55" spans="1:14" x14ac:dyDescent="0.25">
      <c r="A55" s="285" t="s">
        <v>8</v>
      </c>
      <c r="B55" s="286"/>
      <c r="C55" s="16">
        <f>C58+C62+C64+C67+C70</f>
        <v>-69.376999999999995</v>
      </c>
      <c r="D55" s="218">
        <f>D58+D62+D64+D67+D70+D72</f>
        <v>-33.299999999999997</v>
      </c>
      <c r="E55" s="218">
        <f>E58+E62+E64+E67+E70+E72</f>
        <v>-16.600000000000001</v>
      </c>
      <c r="F55" s="11">
        <f t="shared" si="11"/>
        <v>-119.27699999999999</v>
      </c>
      <c r="G55" s="87">
        <f>G64+G67+G62</f>
        <v>324</v>
      </c>
      <c r="H55" s="16">
        <f>H58+H62+H64+H67+H70+H72</f>
        <v>-71.97699999999999</v>
      </c>
      <c r="I55" s="218">
        <f>I58+I62+I64+I67+I70+I72</f>
        <v>-33.200000000000003</v>
      </c>
      <c r="J55" s="218">
        <f>J58+J62+J64+J67+J70+J72</f>
        <v>-21.999999999999996</v>
      </c>
      <c r="K55" s="11">
        <f t="shared" si="12"/>
        <v>-127.17699999999999</v>
      </c>
      <c r="L55" s="87">
        <f>L64+L67+L62</f>
        <v>254</v>
      </c>
      <c r="M55" s="287"/>
      <c r="N55" s="288"/>
    </row>
    <row r="56" spans="1:14" x14ac:dyDescent="0.25">
      <c r="A56" s="285" t="s">
        <v>9</v>
      </c>
      <c r="B56" s="286"/>
      <c r="C56" s="16">
        <f>C53+C55+C54</f>
        <v>0.13864787109404375</v>
      </c>
      <c r="D56" s="218">
        <f>D53+D55</f>
        <v>6.599999999998829E-3</v>
      </c>
      <c r="E56" s="218">
        <f>E53+E55</f>
        <v>18.859425570313441</v>
      </c>
      <c r="F56" s="11">
        <f t="shared" si="11"/>
        <v>19.004673441407483</v>
      </c>
      <c r="G56" s="17"/>
      <c r="H56" s="16">
        <f>H53+H55+H54</f>
        <v>2.0840200000018072E-2</v>
      </c>
      <c r="I56" s="218">
        <f>I53+I55</f>
        <v>2.9999999999994031E-2</v>
      </c>
      <c r="J56" s="218">
        <f>J53+J55</f>
        <v>13.400000000000002</v>
      </c>
      <c r="K56" s="11">
        <f t="shared" si="12"/>
        <v>13.450840200000014</v>
      </c>
      <c r="L56" s="17"/>
      <c r="M56" s="287"/>
      <c r="N56" s="288"/>
    </row>
    <row r="57" spans="1:14" ht="15.75" thickBot="1" x14ac:dyDescent="0.3">
      <c r="A57" s="20" t="s">
        <v>44</v>
      </c>
      <c r="B57" s="88"/>
      <c r="C57" s="89"/>
      <c r="D57" s="90"/>
      <c r="E57" s="90"/>
      <c r="F57" s="90"/>
      <c r="G57" s="91"/>
      <c r="H57" s="89"/>
      <c r="I57" s="90"/>
      <c r="J57" s="90"/>
      <c r="K57" s="90"/>
      <c r="L57" s="91"/>
      <c r="M57" s="92"/>
      <c r="N57" s="306"/>
    </row>
    <row r="58" spans="1:14" ht="30" outlineLevel="1" x14ac:dyDescent="0.25">
      <c r="A58" s="269"/>
      <c r="B58" s="270" t="s">
        <v>20</v>
      </c>
      <c r="C58" s="93">
        <f>SUM(C59:C61)</f>
        <v>-68.099999999999994</v>
      </c>
      <c r="D58" s="224">
        <f>D59+D61</f>
        <v>-25.5</v>
      </c>
      <c r="E58" s="224">
        <f>E59+E61</f>
        <v>-7.5</v>
      </c>
      <c r="F58" s="224">
        <f t="shared" ref="F58:F70" si="13">SUM(C58:E58)</f>
        <v>-101.1</v>
      </c>
      <c r="G58" s="94" t="s">
        <v>21</v>
      </c>
      <c r="H58" s="93">
        <f>SUM(H59:H61)</f>
        <v>-67.599999999999994</v>
      </c>
      <c r="I58" s="224">
        <v>-24.3</v>
      </c>
      <c r="J58" s="224">
        <v>-11.7</v>
      </c>
      <c r="K58" s="224">
        <f t="shared" ref="K58:K70" si="14">SUM(H58:J58)</f>
        <v>-103.6</v>
      </c>
      <c r="L58" s="94" t="s">
        <v>21</v>
      </c>
      <c r="M58" s="279"/>
      <c r="N58" s="307"/>
    </row>
    <row r="59" spans="1:14" ht="36.75" outlineLevel="1" x14ac:dyDescent="0.25">
      <c r="A59" s="252"/>
      <c r="B59" s="253" t="s">
        <v>45</v>
      </c>
      <c r="C59" s="95">
        <f>-63.1-3</f>
        <v>-66.099999999999994</v>
      </c>
      <c r="D59" s="26">
        <f>-23.4+2.4</f>
        <v>-21</v>
      </c>
      <c r="E59" s="26">
        <f>-3.5+0.6</f>
        <v>-2.9</v>
      </c>
      <c r="F59" s="26">
        <f t="shared" si="13"/>
        <v>-90</v>
      </c>
      <c r="G59" s="27"/>
      <c r="H59" s="95">
        <v>-63.1</v>
      </c>
      <c r="I59" s="26">
        <v>-19.8</v>
      </c>
      <c r="J59" s="26">
        <v>-7.1</v>
      </c>
      <c r="K59" s="26">
        <f t="shared" si="14"/>
        <v>-90</v>
      </c>
      <c r="L59" s="27"/>
      <c r="M59" s="250" t="s">
        <v>23</v>
      </c>
      <c r="N59" s="251" t="s">
        <v>168</v>
      </c>
    </row>
    <row r="60" spans="1:14" ht="30" outlineLevel="1" x14ac:dyDescent="0.25">
      <c r="A60" s="252"/>
      <c r="B60" s="364" t="s">
        <v>137</v>
      </c>
      <c r="C60" s="95">
        <v>-2</v>
      </c>
      <c r="D60" s="26"/>
      <c r="E60" s="26"/>
      <c r="F60" s="26">
        <f t="shared" si="13"/>
        <v>-2</v>
      </c>
      <c r="G60" s="27"/>
      <c r="H60" s="95">
        <v>-4.5</v>
      </c>
      <c r="I60" s="26"/>
      <c r="J60" s="26"/>
      <c r="K60" s="26">
        <f t="shared" si="14"/>
        <v>-4.5</v>
      </c>
      <c r="L60" s="27"/>
      <c r="M60" s="250" t="s">
        <v>23</v>
      </c>
      <c r="N60" s="251"/>
    </row>
    <row r="61" spans="1:14" outlineLevel="1" x14ac:dyDescent="0.25">
      <c r="A61" s="308"/>
      <c r="B61" s="253" t="s">
        <v>118</v>
      </c>
      <c r="C61" s="25">
        <v>0</v>
      </c>
      <c r="D61" s="26">
        <v>-4.5</v>
      </c>
      <c r="E61" s="26">
        <v>-4.5999999999999996</v>
      </c>
      <c r="F61" s="26">
        <f t="shared" si="13"/>
        <v>-9.1</v>
      </c>
      <c r="G61" s="27"/>
      <c r="H61" s="25"/>
      <c r="I61" s="26">
        <v>-4.5</v>
      </c>
      <c r="J61" s="26">
        <v>-4.5999999999999996</v>
      </c>
      <c r="K61" s="26">
        <f t="shared" si="14"/>
        <v>-9.1</v>
      </c>
      <c r="L61" s="27"/>
      <c r="M61" s="250" t="s">
        <v>14</v>
      </c>
      <c r="N61" s="292"/>
    </row>
    <row r="62" spans="1:14" outlineLevel="1" x14ac:dyDescent="0.25">
      <c r="A62" s="309"/>
      <c r="B62" s="270" t="s">
        <v>11</v>
      </c>
      <c r="C62" s="93">
        <f>C63</f>
        <v>0</v>
      </c>
      <c r="D62" s="224">
        <f>D63</f>
        <v>0</v>
      </c>
      <c r="E62" s="224">
        <f>E63</f>
        <v>-1</v>
      </c>
      <c r="F62" s="224">
        <f t="shared" si="13"/>
        <v>-1</v>
      </c>
      <c r="G62" s="46">
        <f>SUM(G63:G63)</f>
        <v>44</v>
      </c>
      <c r="H62" s="93">
        <v>0</v>
      </c>
      <c r="I62" s="224">
        <v>0</v>
      </c>
      <c r="J62" s="224">
        <v>-1</v>
      </c>
      <c r="K62" s="224">
        <f t="shared" si="14"/>
        <v>-1</v>
      </c>
      <c r="L62" s="46">
        <f>SUM(L63:L63)</f>
        <v>44</v>
      </c>
      <c r="M62" s="279"/>
      <c r="N62" s="307"/>
    </row>
    <row r="63" spans="1:14" ht="45" outlineLevel="1" x14ac:dyDescent="0.25">
      <c r="A63" s="252"/>
      <c r="B63" s="253" t="s">
        <v>19</v>
      </c>
      <c r="C63" s="34"/>
      <c r="D63" s="37">
        <v>0</v>
      </c>
      <c r="E63" s="35">
        <v>-1</v>
      </c>
      <c r="F63" s="35">
        <f t="shared" si="13"/>
        <v>-1</v>
      </c>
      <c r="G63" s="27">
        <v>44</v>
      </c>
      <c r="H63" s="28"/>
      <c r="I63" s="219"/>
      <c r="J63" s="223">
        <v>-1</v>
      </c>
      <c r="K63" s="35">
        <f t="shared" si="14"/>
        <v>-1</v>
      </c>
      <c r="L63" s="27">
        <v>44</v>
      </c>
      <c r="M63" s="250" t="s">
        <v>14</v>
      </c>
      <c r="N63" s="292" t="s">
        <v>119</v>
      </c>
    </row>
    <row r="64" spans="1:14" outlineLevel="1" x14ac:dyDescent="0.25">
      <c r="A64" s="259"/>
      <c r="B64" s="247" t="s">
        <v>25</v>
      </c>
      <c r="C64" s="75">
        <f>C65</f>
        <v>-0.35</v>
      </c>
      <c r="D64" s="76">
        <f t="shared" ref="D64:G64" si="15">SUM(D65:D66)</f>
        <v>-2.8</v>
      </c>
      <c r="E64" s="76">
        <f t="shared" si="15"/>
        <v>-3</v>
      </c>
      <c r="F64" s="76">
        <f t="shared" si="13"/>
        <v>-6.15</v>
      </c>
      <c r="G64" s="46">
        <f t="shared" si="15"/>
        <v>70</v>
      </c>
      <c r="H64" s="93">
        <v>-2.35</v>
      </c>
      <c r="I64" s="224">
        <v>-2.8</v>
      </c>
      <c r="J64" s="224">
        <v>-3</v>
      </c>
      <c r="K64" s="76">
        <f t="shared" si="14"/>
        <v>-8.15</v>
      </c>
      <c r="L64" s="46">
        <f t="shared" ref="L64" si="16">SUM(L65:L66)</f>
        <v>70</v>
      </c>
      <c r="M64" s="260"/>
      <c r="N64" s="293"/>
    </row>
    <row r="65" spans="1:14" ht="15" customHeight="1" outlineLevel="1" x14ac:dyDescent="0.25">
      <c r="A65" s="248" t="s">
        <v>12</v>
      </c>
      <c r="B65" s="249" t="s">
        <v>46</v>
      </c>
      <c r="C65" s="80">
        <v>-0.35</v>
      </c>
      <c r="D65" s="78">
        <v>-0.8</v>
      </c>
      <c r="E65" s="78">
        <v>-0.8</v>
      </c>
      <c r="F65" s="78">
        <f t="shared" si="13"/>
        <v>-1.95</v>
      </c>
      <c r="G65" s="47">
        <v>20</v>
      </c>
      <c r="H65" s="80">
        <v>-0.35</v>
      </c>
      <c r="I65" s="78">
        <v>-0.8</v>
      </c>
      <c r="J65" s="78">
        <v>-0.8</v>
      </c>
      <c r="K65" s="78">
        <f t="shared" si="14"/>
        <v>-1.95</v>
      </c>
      <c r="L65" s="47">
        <v>20</v>
      </c>
      <c r="M65" s="250" t="s">
        <v>27</v>
      </c>
      <c r="N65" s="290"/>
    </row>
    <row r="66" spans="1:14" ht="15" customHeight="1" outlineLevel="1" x14ac:dyDescent="0.25">
      <c r="A66" s="252"/>
      <c r="B66" s="253" t="s">
        <v>46</v>
      </c>
      <c r="C66" s="25"/>
      <c r="D66" s="26">
        <v>-2</v>
      </c>
      <c r="E66" s="26">
        <v>-2.2000000000000002</v>
      </c>
      <c r="F66" s="26">
        <f t="shared" si="13"/>
        <v>-4.2</v>
      </c>
      <c r="G66" s="27">
        <v>50</v>
      </c>
      <c r="H66" s="25">
        <v>-2</v>
      </c>
      <c r="I66" s="26">
        <v>-2</v>
      </c>
      <c r="J66" s="26">
        <v>-2.2000000000000002</v>
      </c>
      <c r="K66" s="26">
        <f t="shared" si="14"/>
        <v>-6.2</v>
      </c>
      <c r="L66" s="27">
        <v>50</v>
      </c>
      <c r="M66" s="250" t="s">
        <v>27</v>
      </c>
      <c r="N66" s="290"/>
    </row>
    <row r="67" spans="1:14" outlineLevel="1" x14ac:dyDescent="0.25">
      <c r="A67" s="259"/>
      <c r="B67" s="247" t="s">
        <v>47</v>
      </c>
      <c r="C67" s="75">
        <f t="shared" ref="C67:G67" si="17">SUM(C68:C69)</f>
        <v>-0.73</v>
      </c>
      <c r="D67" s="76">
        <f t="shared" si="17"/>
        <v>-5</v>
      </c>
      <c r="E67" s="76">
        <f t="shared" si="17"/>
        <v>-5.0999999999999996</v>
      </c>
      <c r="F67" s="76">
        <f t="shared" si="13"/>
        <v>-10.83</v>
      </c>
      <c r="G67" s="46">
        <f t="shared" si="17"/>
        <v>210</v>
      </c>
      <c r="H67" s="93">
        <v>-0.73</v>
      </c>
      <c r="I67" s="224">
        <v>-5</v>
      </c>
      <c r="J67" s="224">
        <v>-5.0999999999999996</v>
      </c>
      <c r="K67" s="76">
        <f t="shared" si="14"/>
        <v>-10.83</v>
      </c>
      <c r="L67" s="46">
        <f t="shared" ref="L67" si="18">SUM(L68:L69)</f>
        <v>140</v>
      </c>
      <c r="M67" s="260"/>
      <c r="N67" s="293"/>
    </row>
    <row r="68" spans="1:14" outlineLevel="1" x14ac:dyDescent="0.25">
      <c r="A68" s="248" t="s">
        <v>12</v>
      </c>
      <c r="B68" s="249" t="s">
        <v>48</v>
      </c>
      <c r="C68" s="80">
        <v>-0.73</v>
      </c>
      <c r="D68" s="78">
        <v>-1.3</v>
      </c>
      <c r="E68" s="78">
        <v>-1.3</v>
      </c>
      <c r="F68" s="78">
        <f t="shared" si="13"/>
        <v>-3.33</v>
      </c>
      <c r="G68" s="47">
        <v>60</v>
      </c>
      <c r="H68" s="80">
        <v>-0.73</v>
      </c>
      <c r="I68" s="78">
        <v>-1.3</v>
      </c>
      <c r="J68" s="78">
        <v>-1.3</v>
      </c>
      <c r="K68" s="78">
        <f t="shared" si="14"/>
        <v>-3.33</v>
      </c>
      <c r="L68" s="47">
        <f t="shared" ref="L68" si="19">G68</f>
        <v>60</v>
      </c>
      <c r="M68" s="250" t="s">
        <v>32</v>
      </c>
      <c r="N68" s="290"/>
    </row>
    <row r="69" spans="1:14" ht="60.75" outlineLevel="1" x14ac:dyDescent="0.25">
      <c r="A69" s="252"/>
      <c r="B69" s="253" t="s">
        <v>48</v>
      </c>
      <c r="C69" s="96">
        <v>0</v>
      </c>
      <c r="D69" s="97">
        <v>-3.7</v>
      </c>
      <c r="E69" s="97">
        <v>-3.8</v>
      </c>
      <c r="F69" s="97">
        <f t="shared" si="13"/>
        <v>-7.5</v>
      </c>
      <c r="G69" s="27">
        <v>150</v>
      </c>
      <c r="H69" s="96">
        <v>0</v>
      </c>
      <c r="I69" s="98">
        <v>-3.7</v>
      </c>
      <c r="J69" s="98">
        <v>-3.8</v>
      </c>
      <c r="K69" s="97">
        <f t="shared" si="14"/>
        <v>-7.5</v>
      </c>
      <c r="L69" s="51">
        <v>80</v>
      </c>
      <c r="M69" s="250" t="s">
        <v>32</v>
      </c>
      <c r="N69" s="251" t="s">
        <v>167</v>
      </c>
    </row>
    <row r="70" spans="1:14" ht="30" outlineLevel="1" x14ac:dyDescent="0.25">
      <c r="A70" s="295" t="s">
        <v>12</v>
      </c>
      <c r="B70" s="310" t="s">
        <v>37</v>
      </c>
      <c r="C70" s="81">
        <v>-0.19700000000000001</v>
      </c>
      <c r="D70" s="45">
        <v>0</v>
      </c>
      <c r="E70" s="45">
        <v>0</v>
      </c>
      <c r="F70" s="378">
        <f t="shared" si="13"/>
        <v>-0.19700000000000001</v>
      </c>
      <c r="G70" s="83"/>
      <c r="H70" s="84">
        <v>-0.19700000000000001</v>
      </c>
      <c r="I70" s="45">
        <v>0</v>
      </c>
      <c r="J70" s="45">
        <v>0</v>
      </c>
      <c r="K70" s="378">
        <f t="shared" si="14"/>
        <v>-0.19700000000000001</v>
      </c>
      <c r="L70" s="83"/>
      <c r="M70" s="280"/>
      <c r="N70" s="83"/>
    </row>
    <row r="71" spans="1:14" outlineLevel="1" x14ac:dyDescent="0.25">
      <c r="A71" s="252"/>
      <c r="B71" s="243"/>
      <c r="C71" s="99"/>
      <c r="D71" s="26"/>
      <c r="E71" s="26"/>
      <c r="F71" s="26"/>
      <c r="G71" s="27"/>
      <c r="H71" s="100"/>
      <c r="I71" s="236"/>
      <c r="J71" s="236"/>
      <c r="K71" s="26"/>
      <c r="L71" s="27"/>
      <c r="M71" s="250"/>
      <c r="N71" s="27"/>
    </row>
    <row r="72" spans="1:14" outlineLevel="1" x14ac:dyDescent="0.25">
      <c r="A72" s="309"/>
      <c r="B72" s="310" t="s">
        <v>49</v>
      </c>
      <c r="C72" s="101"/>
      <c r="D72" s="82"/>
      <c r="E72" s="82"/>
      <c r="F72" s="378">
        <f>SUM(C72:E72)</f>
        <v>0</v>
      </c>
      <c r="G72" s="83"/>
      <c r="H72" s="93">
        <v>-1.1000000000000001</v>
      </c>
      <c r="I72" s="224">
        <v>-1.1000000000000001</v>
      </c>
      <c r="J72" s="224">
        <v>-1.2</v>
      </c>
      <c r="K72" s="378">
        <f>SUM(H72:J72)</f>
        <v>-3.4000000000000004</v>
      </c>
      <c r="L72" s="83"/>
      <c r="M72" s="280"/>
      <c r="N72" s="83"/>
    </row>
    <row r="73" spans="1:14" ht="36.75" outlineLevel="1" x14ac:dyDescent="0.25">
      <c r="A73" s="252"/>
      <c r="B73" s="289" t="s">
        <v>50</v>
      </c>
      <c r="C73" s="25">
        <v>0</v>
      </c>
      <c r="D73" s="26">
        <v>0</v>
      </c>
      <c r="E73" s="26">
        <v>0</v>
      </c>
      <c r="F73" s="26">
        <f>SUM(C73:E73)</f>
        <v>0</v>
      </c>
      <c r="G73" s="27"/>
      <c r="H73" s="25">
        <v>-1.1000000000000001</v>
      </c>
      <c r="I73" s="26">
        <v>-1.1000000000000001</v>
      </c>
      <c r="J73" s="26">
        <v>-1.2</v>
      </c>
      <c r="K73" s="26">
        <f>SUM(H73:J73)</f>
        <v>-3.4000000000000004</v>
      </c>
      <c r="L73" s="27">
        <v>25</v>
      </c>
      <c r="M73" s="219"/>
      <c r="N73" s="251" t="s">
        <v>120</v>
      </c>
    </row>
    <row r="74" spans="1:14" ht="15.75" outlineLevel="1" thickBot="1" x14ac:dyDescent="0.3">
      <c r="A74" s="305"/>
      <c r="B74" s="62"/>
      <c r="C74" s="85"/>
      <c r="D74" s="86"/>
      <c r="E74" s="86"/>
      <c r="F74" s="86"/>
      <c r="G74" s="65"/>
      <c r="H74" s="66"/>
      <c r="I74" s="67"/>
      <c r="J74" s="67"/>
      <c r="K74" s="67"/>
      <c r="L74" s="65"/>
      <c r="M74" s="68"/>
      <c r="N74" s="65"/>
    </row>
    <row r="75" spans="1:14" ht="15.75" thickBot="1" x14ac:dyDescent="0.3">
      <c r="A75" s="205"/>
      <c r="B75" s="289"/>
      <c r="C75" s="25"/>
      <c r="D75" s="26"/>
      <c r="E75" s="26"/>
      <c r="F75" s="26"/>
      <c r="G75" s="27"/>
      <c r="H75" s="28"/>
      <c r="I75" s="219"/>
      <c r="J75" s="219"/>
      <c r="K75" s="219"/>
      <c r="L75" s="27"/>
      <c r="M75" s="26"/>
      <c r="N75" s="27"/>
    </row>
    <row r="76" spans="1:14" ht="15" customHeight="1" thickBot="1" x14ac:dyDescent="0.3">
      <c r="A76" s="205"/>
      <c r="B76" s="289"/>
      <c r="C76" s="392" t="s">
        <v>163</v>
      </c>
      <c r="D76" s="393"/>
      <c r="E76" s="393"/>
      <c r="F76" s="393"/>
      <c r="G76" s="394"/>
      <c r="H76" s="392" t="s">
        <v>164</v>
      </c>
      <c r="I76" s="393"/>
      <c r="J76" s="393"/>
      <c r="K76" s="393"/>
      <c r="L76" s="394"/>
      <c r="M76" s="26"/>
      <c r="N76" s="27"/>
    </row>
    <row r="77" spans="1:14" ht="15.75" thickBot="1" x14ac:dyDescent="0.3">
      <c r="A77" s="311" t="s">
        <v>51</v>
      </c>
      <c r="B77" s="102"/>
      <c r="C77" s="103"/>
      <c r="D77" s="104"/>
      <c r="E77" s="104"/>
      <c r="F77" s="104"/>
      <c r="G77" s="105"/>
      <c r="H77" s="103"/>
      <c r="I77" s="104"/>
      <c r="J77" s="104"/>
      <c r="K77" s="104"/>
      <c r="L77" s="105"/>
      <c r="M77" s="104"/>
      <c r="N77" s="312"/>
    </row>
    <row r="78" spans="1:14" ht="60" x14ac:dyDescent="0.25">
      <c r="A78" s="395"/>
      <c r="B78" s="396"/>
      <c r="C78" s="197" t="s">
        <v>1</v>
      </c>
      <c r="D78" s="198" t="s">
        <v>2</v>
      </c>
      <c r="E78" s="198" t="s">
        <v>3</v>
      </c>
      <c r="F78" s="198" t="s">
        <v>165</v>
      </c>
      <c r="G78" s="199" t="s">
        <v>128</v>
      </c>
      <c r="H78" s="197" t="s">
        <v>1</v>
      </c>
      <c r="I78" s="198" t="s">
        <v>2</v>
      </c>
      <c r="J78" s="198" t="s">
        <v>3</v>
      </c>
      <c r="K78" s="198" t="s">
        <v>165</v>
      </c>
      <c r="L78" s="199" t="s">
        <v>128</v>
      </c>
      <c r="M78" s="379"/>
      <c r="N78" s="362"/>
    </row>
    <row r="79" spans="1:14" x14ac:dyDescent="0.25">
      <c r="A79" s="313"/>
      <c r="B79" s="314" t="s">
        <v>52</v>
      </c>
      <c r="C79" s="106">
        <f>C6+C36+C53</f>
        <v>337.48400099999998</v>
      </c>
      <c r="D79" s="107">
        <f>D6+D36+D53</f>
        <v>166.53299999999999</v>
      </c>
      <c r="E79" s="107">
        <f>E6+E36+E53</f>
        <v>177.29712785156721</v>
      </c>
      <c r="F79" s="107">
        <f>SUM(C79:E79)</f>
        <v>681.31412885156715</v>
      </c>
      <c r="G79" s="108"/>
      <c r="H79" s="106">
        <f>H6+H36+H53</f>
        <v>337.48400099999998</v>
      </c>
      <c r="I79" s="107">
        <f>I6+I36+I53</f>
        <v>166.16</v>
      </c>
      <c r="J79" s="107">
        <f>J6+J36+J53</f>
        <v>176.8</v>
      </c>
      <c r="K79" s="107">
        <f>SUM(H79:J79)</f>
        <v>680.44400100000007</v>
      </c>
      <c r="L79" s="108"/>
      <c r="M79" s="110"/>
      <c r="N79" s="41"/>
    </row>
    <row r="80" spans="1:14" x14ac:dyDescent="0.25">
      <c r="A80" s="313"/>
      <c r="B80" s="314" t="s">
        <v>133</v>
      </c>
      <c r="C80" s="372">
        <f>C7+C37+C54</f>
        <v>10.094238355470146</v>
      </c>
      <c r="D80" s="107"/>
      <c r="E80" s="107"/>
      <c r="F80" s="107">
        <f>SUM(C80:E80)</f>
        <v>10.094238355470146</v>
      </c>
      <c r="G80" s="108"/>
      <c r="H80" s="371">
        <f>H7+H37+H54</f>
        <v>22.505199999999988</v>
      </c>
      <c r="I80" s="109"/>
      <c r="J80" s="109"/>
      <c r="K80" s="107">
        <f>SUM(H80:J80)</f>
        <v>22.505199999999988</v>
      </c>
      <c r="L80" s="108"/>
      <c r="M80" s="110"/>
      <c r="N80" s="41"/>
    </row>
    <row r="81" spans="1:14" x14ac:dyDescent="0.25">
      <c r="A81" s="313"/>
      <c r="B81" s="314" t="s">
        <v>8</v>
      </c>
      <c r="C81" s="106">
        <f>C8+C38+C55</f>
        <v>-347.30200000000002</v>
      </c>
      <c r="D81" s="107">
        <f>D8+D38+D55</f>
        <v>-162.29000000000002</v>
      </c>
      <c r="E81" s="107">
        <f>E8+E38+E55</f>
        <v>-133.60300000000001</v>
      </c>
      <c r="F81" s="107">
        <f>SUM(C81:E81)</f>
        <v>-643.19500000000005</v>
      </c>
      <c r="G81" s="111">
        <f>G8+G38+G55</f>
        <v>2725</v>
      </c>
      <c r="H81" s="106">
        <f>H8+H38+H55</f>
        <v>-268.00200000000001</v>
      </c>
      <c r="I81" s="107">
        <f>I8+I38+I55</f>
        <v>-155.19999999999999</v>
      </c>
      <c r="J81" s="107">
        <f>J8+J38+J55</f>
        <v>-139.9</v>
      </c>
      <c r="K81" s="107">
        <f>SUM(H81:J81)</f>
        <v>-563.10199999999998</v>
      </c>
      <c r="L81" s="111">
        <f>L8+L38+L55</f>
        <v>2905</v>
      </c>
      <c r="M81" s="110"/>
      <c r="N81" s="251"/>
    </row>
    <row r="82" spans="1:14" ht="30" x14ac:dyDescent="0.25">
      <c r="A82" s="315"/>
      <c r="B82" s="112" t="s">
        <v>53</v>
      </c>
      <c r="C82" s="113">
        <f>C79+C81</f>
        <v>-9.817999000000043</v>
      </c>
      <c r="D82" s="114">
        <f>D79+D81</f>
        <v>4.2429999999999666</v>
      </c>
      <c r="E82" s="114">
        <f>E79+E81</f>
        <v>43.694127851567202</v>
      </c>
      <c r="F82" s="114">
        <f>SUM(C82:E82)</f>
        <v>38.119128851567126</v>
      </c>
      <c r="G82" s="115"/>
      <c r="H82" s="116">
        <f>SUM(H79:H81)</f>
        <v>91.98720099999997</v>
      </c>
      <c r="I82" s="117">
        <f>SUM(I79:I81)</f>
        <v>10.960000000000008</v>
      </c>
      <c r="J82" s="117">
        <f>SUM(J79:J81)</f>
        <v>36.900000000000006</v>
      </c>
      <c r="K82" s="114">
        <f>SUM(H82:J82)</f>
        <v>139.84720099999998</v>
      </c>
      <c r="L82" s="115"/>
      <c r="M82" s="118"/>
      <c r="N82" s="316"/>
    </row>
    <row r="83" spans="1:14" x14ac:dyDescent="0.25">
      <c r="A83" s="317"/>
      <c r="B83" s="318" t="s">
        <v>54</v>
      </c>
      <c r="C83" s="119"/>
      <c r="D83" s="120"/>
      <c r="E83" s="120"/>
      <c r="F83" s="120"/>
      <c r="G83" s="121"/>
      <c r="H83" s="122"/>
      <c r="I83" s="123"/>
      <c r="J83" s="123"/>
      <c r="K83" s="123"/>
      <c r="L83" s="121"/>
      <c r="M83" s="124"/>
      <c r="N83" s="319"/>
    </row>
    <row r="84" spans="1:14" x14ac:dyDescent="0.25">
      <c r="A84" s="313"/>
      <c r="B84" s="320" t="s">
        <v>55</v>
      </c>
      <c r="C84" s="125">
        <f>0.12*C79</f>
        <v>40.498080119999997</v>
      </c>
      <c r="D84" s="110">
        <f>0.12*D79</f>
        <v>19.983959999999996</v>
      </c>
      <c r="E84" s="110">
        <f>0.12*E79</f>
        <v>21.275655342188063</v>
      </c>
      <c r="F84" s="110"/>
      <c r="G84" s="126"/>
      <c r="H84" s="125">
        <f>0.12*H79</f>
        <v>40.498080119999997</v>
      </c>
      <c r="I84" s="110">
        <f>0.12*I79</f>
        <v>19.9392</v>
      </c>
      <c r="J84" s="110">
        <f>0.12*J79</f>
        <v>21.216000000000001</v>
      </c>
      <c r="K84" s="110"/>
      <c r="L84" s="126"/>
      <c r="M84" s="110"/>
      <c r="N84" s="41"/>
    </row>
    <row r="85" spans="1:14" ht="30" x14ac:dyDescent="0.25">
      <c r="A85" s="321"/>
      <c r="B85" s="320" t="s">
        <v>56</v>
      </c>
      <c r="C85" s="125">
        <f>(C23+C67)</f>
        <v>-5.43</v>
      </c>
      <c r="D85" s="110">
        <f>(D23+D67)</f>
        <v>-19.7</v>
      </c>
      <c r="E85" s="110">
        <f>(E23+E67)</f>
        <v>-16.399999999999999</v>
      </c>
      <c r="F85" s="110"/>
      <c r="G85" s="126"/>
      <c r="H85" s="125">
        <f>(H23+H67)</f>
        <v>-5.43</v>
      </c>
      <c r="I85" s="110">
        <f>(I23+I67)</f>
        <v>-22</v>
      </c>
      <c r="J85" s="110">
        <f>(J23+J67)</f>
        <v>-20.6</v>
      </c>
      <c r="K85" s="110"/>
      <c r="L85" s="126"/>
      <c r="M85" s="110"/>
      <c r="N85" s="41"/>
    </row>
    <row r="86" spans="1:14" ht="15.75" thickBot="1" x14ac:dyDescent="0.3">
      <c r="A86" s="322"/>
      <c r="B86" s="127" t="s">
        <v>57</v>
      </c>
      <c r="C86" s="128">
        <f>C84+C85</f>
        <v>35.068080119999998</v>
      </c>
      <c r="D86" s="129">
        <f>D84+D85</f>
        <v>0.28395999999999688</v>
      </c>
      <c r="E86" s="129">
        <f>E84+E85</f>
        <v>4.8756553421880646</v>
      </c>
      <c r="F86" s="129"/>
      <c r="G86" s="130"/>
      <c r="H86" s="128">
        <f>H84+H85</f>
        <v>35.068080119999998</v>
      </c>
      <c r="I86" s="131">
        <f>I84+I85</f>
        <v>-2.0608000000000004</v>
      </c>
      <c r="J86" s="129">
        <f>J84+J85</f>
        <v>0.61599999999999966</v>
      </c>
      <c r="K86" s="129"/>
      <c r="L86" s="130"/>
      <c r="M86" s="129"/>
      <c r="N86" s="323"/>
    </row>
    <row r="87" spans="1:14" ht="15.75" thickBot="1" x14ac:dyDescent="0.3">
      <c r="A87" s="324"/>
      <c r="B87" s="289"/>
      <c r="C87" s="25"/>
      <c r="D87" s="26"/>
      <c r="E87" s="26"/>
      <c r="F87" s="26"/>
      <c r="G87" s="132"/>
      <c r="H87" s="25"/>
      <c r="I87" s="26"/>
      <c r="J87" s="26"/>
      <c r="K87" s="26"/>
      <c r="L87" s="132"/>
      <c r="M87" s="26"/>
      <c r="N87" s="27"/>
    </row>
    <row r="88" spans="1:14" ht="15" customHeight="1" thickBot="1" x14ac:dyDescent="0.3">
      <c r="A88" s="324"/>
      <c r="B88" s="289"/>
      <c r="C88" s="392" t="s">
        <v>163</v>
      </c>
      <c r="D88" s="393"/>
      <c r="E88" s="393"/>
      <c r="F88" s="393"/>
      <c r="G88" s="394"/>
      <c r="H88" s="392" t="s">
        <v>164</v>
      </c>
      <c r="I88" s="393"/>
      <c r="J88" s="393"/>
      <c r="K88" s="393"/>
      <c r="L88" s="394"/>
      <c r="M88" s="26"/>
      <c r="N88" s="27"/>
    </row>
    <row r="89" spans="1:14" ht="60" x14ac:dyDescent="0.25">
      <c r="A89" s="395" t="s">
        <v>58</v>
      </c>
      <c r="B89" s="396"/>
      <c r="C89" s="197" t="s">
        <v>1</v>
      </c>
      <c r="D89" s="198" t="s">
        <v>2</v>
      </c>
      <c r="E89" s="198" t="s">
        <v>3</v>
      </c>
      <c r="F89" s="198" t="s">
        <v>165</v>
      </c>
      <c r="G89" s="199" t="s">
        <v>4</v>
      </c>
      <c r="H89" s="197" t="s">
        <v>1</v>
      </c>
      <c r="I89" s="198" t="s">
        <v>2</v>
      </c>
      <c r="J89" s="198" t="s">
        <v>3</v>
      </c>
      <c r="K89" s="198" t="s">
        <v>165</v>
      </c>
      <c r="L89" s="199" t="s">
        <v>4</v>
      </c>
      <c r="M89" s="198" t="s">
        <v>5</v>
      </c>
      <c r="N89" s="199" t="s">
        <v>6</v>
      </c>
    </row>
    <row r="90" spans="1:14" ht="26.25" x14ac:dyDescent="0.25">
      <c r="A90" s="237" t="s">
        <v>7</v>
      </c>
      <c r="B90" s="238"/>
      <c r="C90" s="211">
        <v>168.74199999999999</v>
      </c>
      <c r="D90" s="212">
        <v>83.266499999999994</v>
      </c>
      <c r="E90" s="212">
        <v>88.648563925783606</v>
      </c>
      <c r="F90" s="212">
        <f>SUM(C90:E90)</f>
        <v>340.65706392578358</v>
      </c>
      <c r="G90" s="213"/>
      <c r="H90" s="211">
        <v>168.74199999999999</v>
      </c>
      <c r="I90" s="366">
        <v>83.08</v>
      </c>
      <c r="J90" s="366">
        <v>88.4</v>
      </c>
      <c r="K90" s="212">
        <f>SUM(H90:J90)</f>
        <v>340.22199999999998</v>
      </c>
      <c r="L90" s="213"/>
      <c r="M90" s="239"/>
      <c r="N90" s="360" t="s">
        <v>169</v>
      </c>
    </row>
    <row r="91" spans="1:14" x14ac:dyDescent="0.25">
      <c r="A91" s="240" t="s">
        <v>8</v>
      </c>
      <c r="B91" s="238"/>
      <c r="C91" s="214">
        <f>C94+C99+C104+C112+C119+C122</f>
        <v>-46.300000000000004</v>
      </c>
      <c r="D91" s="225">
        <f>D94+D99+D104+D112+D119+D122</f>
        <v>-160.02999999999997</v>
      </c>
      <c r="E91" s="225">
        <f>E94+E99+E104+E112+E119+E122</f>
        <v>-134.27999999999997</v>
      </c>
      <c r="F91" s="225">
        <f>SUM(C91:E91)</f>
        <v>-340.60999999999996</v>
      </c>
      <c r="G91" s="215">
        <f>G104</f>
        <v>337</v>
      </c>
      <c r="H91" s="214">
        <f>H94+H99+H104+H112+H119+H122</f>
        <v>-30.200000000000003</v>
      </c>
      <c r="I91" s="225">
        <f>I94+I99+I104+I112+I119+I122</f>
        <v>-158.10999999999999</v>
      </c>
      <c r="J91" s="225">
        <f>J94+J99+J104+J112+J119+J122</f>
        <v>-88.600000000000009</v>
      </c>
      <c r="K91" s="225">
        <f>SUM(H91:J91)</f>
        <v>-276.91000000000003</v>
      </c>
      <c r="L91" s="215">
        <f>L104</f>
        <v>353</v>
      </c>
      <c r="M91" s="241"/>
      <c r="N91" s="242"/>
    </row>
    <row r="92" spans="1:14" x14ac:dyDescent="0.25">
      <c r="A92" s="240" t="s">
        <v>9</v>
      </c>
      <c r="B92" s="238"/>
      <c r="C92" s="214">
        <f>C90+C91</f>
        <v>122.44199999999998</v>
      </c>
      <c r="D92" s="225">
        <f>D90+D91</f>
        <v>-76.763499999999979</v>
      </c>
      <c r="E92" s="225">
        <f>E90+E91</f>
        <v>-45.631436074216367</v>
      </c>
      <c r="F92" s="225">
        <f>SUM(C92:E92)</f>
        <v>4.7063925783632499E-2</v>
      </c>
      <c r="G92" s="216"/>
      <c r="H92" s="214">
        <f>H90+H91</f>
        <v>138.54199999999997</v>
      </c>
      <c r="I92" s="225">
        <f>I90+I91</f>
        <v>-75.029999999999987</v>
      </c>
      <c r="J92" s="225">
        <f>J90+J91</f>
        <v>-0.20000000000000284</v>
      </c>
      <c r="K92" s="225">
        <f>SUM(H92:J92)</f>
        <v>63.311999999999983</v>
      </c>
      <c r="L92" s="216"/>
      <c r="M92" s="241"/>
      <c r="N92" s="242"/>
    </row>
    <row r="93" spans="1:14" ht="15.75" thickBot="1" x14ac:dyDescent="0.3">
      <c r="A93" s="244" t="s">
        <v>44</v>
      </c>
      <c r="B93" s="133" t="s">
        <v>58</v>
      </c>
      <c r="C93" s="134"/>
      <c r="D93" s="135"/>
      <c r="E93" s="135"/>
      <c r="F93" s="135"/>
      <c r="G93" s="136"/>
      <c r="H93" s="134"/>
      <c r="I93" s="135"/>
      <c r="J93" s="135"/>
      <c r="K93" s="135"/>
      <c r="L93" s="136"/>
      <c r="M93" s="135"/>
      <c r="N93" s="245"/>
    </row>
    <row r="94" spans="1:14" ht="15" customHeight="1" outlineLevel="1" x14ac:dyDescent="0.25">
      <c r="A94" s="246"/>
      <c r="B94" s="247" t="s">
        <v>60</v>
      </c>
      <c r="C94" s="137">
        <f>SUM(C95:C96)</f>
        <v>-4.5999999999999996</v>
      </c>
      <c r="D94" s="138">
        <f>SUM(D95:D98)</f>
        <v>-27.35</v>
      </c>
      <c r="E94" s="138">
        <f>SUM(E95:E98)</f>
        <v>-27.18</v>
      </c>
      <c r="F94" s="138">
        <f t="shared" ref="F94:F122" si="20">SUM(C94:E94)</f>
        <v>-59.13</v>
      </c>
      <c r="G94" s="139"/>
      <c r="H94" s="137">
        <v>-4.5999999999999996</v>
      </c>
      <c r="I94" s="138">
        <v>-21.799999999999997</v>
      </c>
      <c r="J94" s="138">
        <v>-23.6</v>
      </c>
      <c r="K94" s="138">
        <f t="shared" ref="K94:K122" si="21">SUM(H94:J94)</f>
        <v>-50</v>
      </c>
      <c r="L94" s="139"/>
      <c r="M94" s="76"/>
      <c r="N94" s="39"/>
    </row>
    <row r="95" spans="1:14" s="142" customFormat="1" ht="30" outlineLevel="1" x14ac:dyDescent="0.25">
      <c r="A95" s="248" t="s">
        <v>12</v>
      </c>
      <c r="B95" s="249" t="s">
        <v>111</v>
      </c>
      <c r="C95" s="140">
        <v>-4.5999999999999996</v>
      </c>
      <c r="D95" s="369">
        <v>-11.9</v>
      </c>
      <c r="E95" s="369">
        <v>-12.4</v>
      </c>
      <c r="F95" s="369">
        <f t="shared" si="20"/>
        <v>-28.9</v>
      </c>
      <c r="G95" s="47"/>
      <c r="H95" s="140">
        <v>-4.5999999999999996</v>
      </c>
      <c r="I95" s="369">
        <v>-10.1</v>
      </c>
      <c r="J95" s="369">
        <v>-10.6</v>
      </c>
      <c r="K95" s="369">
        <f t="shared" si="21"/>
        <v>-25.299999999999997</v>
      </c>
      <c r="L95" s="47"/>
      <c r="M95" s="261" t="s">
        <v>59</v>
      </c>
      <c r="N95" s="251" t="s">
        <v>171</v>
      </c>
    </row>
    <row r="96" spans="1:14" outlineLevel="1" x14ac:dyDescent="0.25">
      <c r="A96" s="252"/>
      <c r="B96" s="253" t="s">
        <v>61</v>
      </c>
      <c r="C96" s="69">
        <v>0</v>
      </c>
      <c r="D96" s="369">
        <v>-12.8</v>
      </c>
      <c r="E96" s="369">
        <v>-12.5</v>
      </c>
      <c r="F96" s="369">
        <f t="shared" si="20"/>
        <v>-25.3</v>
      </c>
      <c r="G96" s="27"/>
      <c r="H96" s="69">
        <v>0</v>
      </c>
      <c r="I96" s="369">
        <v>-11.7</v>
      </c>
      <c r="J96" s="369">
        <v>-13</v>
      </c>
      <c r="K96" s="369">
        <f t="shared" si="21"/>
        <v>-24.7</v>
      </c>
      <c r="L96" s="27"/>
      <c r="M96" s="261" t="s">
        <v>59</v>
      </c>
      <c r="N96" s="251" t="s">
        <v>145</v>
      </c>
    </row>
    <row r="97" spans="1:14" ht="30" outlineLevel="1" x14ac:dyDescent="0.25">
      <c r="A97" s="252"/>
      <c r="B97" s="253" t="s">
        <v>141</v>
      </c>
      <c r="C97" s="69"/>
      <c r="D97" s="369">
        <v>-2</v>
      </c>
      <c r="E97" s="369">
        <v>-2</v>
      </c>
      <c r="F97" s="369">
        <f t="shared" si="20"/>
        <v>-4</v>
      </c>
      <c r="G97" s="27"/>
      <c r="H97" s="69"/>
      <c r="I97" s="369">
        <v>0</v>
      </c>
      <c r="J97" s="369">
        <v>0</v>
      </c>
      <c r="K97" s="369">
        <f t="shared" si="21"/>
        <v>0</v>
      </c>
      <c r="L97" s="27"/>
      <c r="M97" s="261" t="s">
        <v>59</v>
      </c>
      <c r="N97" s="251" t="s">
        <v>142</v>
      </c>
    </row>
    <row r="98" spans="1:14" ht="36.75" outlineLevel="1" x14ac:dyDescent="0.25">
      <c r="A98" s="252"/>
      <c r="B98" s="253" t="s">
        <v>159</v>
      </c>
      <c r="C98" s="69"/>
      <c r="D98" s="369">
        <v>-0.65</v>
      </c>
      <c r="E98" s="369">
        <v>-0.28000000000000003</v>
      </c>
      <c r="F98" s="369">
        <f t="shared" si="20"/>
        <v>-0.93</v>
      </c>
      <c r="G98" s="27"/>
      <c r="H98" s="69"/>
      <c r="I98" s="369">
        <v>0</v>
      </c>
      <c r="J98" s="369">
        <v>0</v>
      </c>
      <c r="K98" s="369">
        <f t="shared" si="21"/>
        <v>0</v>
      </c>
      <c r="L98" s="27"/>
      <c r="M98" s="261" t="s">
        <v>59</v>
      </c>
      <c r="N98" s="251" t="s">
        <v>160</v>
      </c>
    </row>
    <row r="99" spans="1:14" outlineLevel="1" x14ac:dyDescent="0.25">
      <c r="A99" s="254"/>
      <c r="B99" s="255" t="s">
        <v>62</v>
      </c>
      <c r="C99" s="143">
        <f>SUM(C100:C103)</f>
        <v>-5.8000000000000007</v>
      </c>
      <c r="D99" s="144">
        <f>SUM(D100:D103)</f>
        <v>-11.600000000000001</v>
      </c>
      <c r="E99" s="144">
        <f>SUM(E100:E103)</f>
        <v>-13.900000000000002</v>
      </c>
      <c r="F99" s="144">
        <f t="shared" si="20"/>
        <v>-31.300000000000004</v>
      </c>
      <c r="G99" s="145"/>
      <c r="H99" s="143">
        <v>-5.8000000000000007</v>
      </c>
      <c r="I99" s="144">
        <v>-11.600000000000001</v>
      </c>
      <c r="J99" s="144">
        <v>-14</v>
      </c>
      <c r="K99" s="144">
        <f t="shared" si="21"/>
        <v>-31.400000000000002</v>
      </c>
      <c r="L99" s="145"/>
      <c r="M99" s="281"/>
      <c r="N99" s="257"/>
    </row>
    <row r="100" spans="1:14" s="142" customFormat="1" ht="30" outlineLevel="1" x14ac:dyDescent="0.25">
      <c r="A100" s="248" t="s">
        <v>12</v>
      </c>
      <c r="B100" s="249" t="s">
        <v>63</v>
      </c>
      <c r="C100" s="140">
        <v>-4.2</v>
      </c>
      <c r="D100" s="369">
        <v>-5.8</v>
      </c>
      <c r="E100" s="369">
        <v>-5.9</v>
      </c>
      <c r="F100" s="369">
        <f t="shared" si="20"/>
        <v>-15.9</v>
      </c>
      <c r="G100" s="47"/>
      <c r="H100" s="140">
        <v>-4.2</v>
      </c>
      <c r="I100" s="369">
        <v>-5.8</v>
      </c>
      <c r="J100" s="369">
        <v>-6</v>
      </c>
      <c r="K100" s="369">
        <f t="shared" si="21"/>
        <v>-16</v>
      </c>
      <c r="L100" s="47"/>
      <c r="M100" s="261" t="s">
        <v>59</v>
      </c>
      <c r="N100" s="251" t="s">
        <v>121</v>
      </c>
    </row>
    <row r="101" spans="1:14" ht="30" outlineLevel="1" x14ac:dyDescent="0.25">
      <c r="A101" s="248" t="s">
        <v>12</v>
      </c>
      <c r="B101" s="249" t="s">
        <v>129</v>
      </c>
      <c r="C101" s="140">
        <v>-1.6</v>
      </c>
      <c r="D101" s="369">
        <v>-4</v>
      </c>
      <c r="E101" s="369">
        <v>-4.2</v>
      </c>
      <c r="F101" s="369">
        <f t="shared" si="20"/>
        <v>-9.8000000000000007</v>
      </c>
      <c r="G101" s="47"/>
      <c r="H101" s="140">
        <v>-1.6</v>
      </c>
      <c r="I101" s="369">
        <v>-4</v>
      </c>
      <c r="J101" s="369">
        <v>-4.2</v>
      </c>
      <c r="K101" s="369">
        <f t="shared" si="21"/>
        <v>-9.8000000000000007</v>
      </c>
      <c r="L101" s="47"/>
      <c r="M101" s="261" t="s">
        <v>59</v>
      </c>
      <c r="N101" s="251" t="s">
        <v>122</v>
      </c>
    </row>
    <row r="102" spans="1:14" ht="15" customHeight="1" outlineLevel="1" x14ac:dyDescent="0.25">
      <c r="A102" s="252"/>
      <c r="B102" s="258" t="s">
        <v>112</v>
      </c>
      <c r="C102" s="140"/>
      <c r="D102" s="369">
        <v>-0.5</v>
      </c>
      <c r="E102" s="369">
        <v>-0.5</v>
      </c>
      <c r="F102" s="369">
        <f t="shared" si="20"/>
        <v>-1</v>
      </c>
      <c r="G102" s="47"/>
      <c r="H102" s="140"/>
      <c r="I102" s="369">
        <v>-0.5</v>
      </c>
      <c r="J102" s="369">
        <v>-0.5</v>
      </c>
      <c r="K102" s="369">
        <f t="shared" si="21"/>
        <v>-1</v>
      </c>
      <c r="L102" s="47"/>
      <c r="M102" s="261" t="s">
        <v>59</v>
      </c>
      <c r="N102" s="251" t="s">
        <v>123</v>
      </c>
    </row>
    <row r="103" spans="1:14" ht="72.75" outlineLevel="1" x14ac:dyDescent="0.25">
      <c r="A103" s="252"/>
      <c r="B103" s="253" t="s">
        <v>64</v>
      </c>
      <c r="C103" s="69">
        <v>0</v>
      </c>
      <c r="D103" s="370">
        <v>-1.3</v>
      </c>
      <c r="E103" s="370">
        <v>-3.3</v>
      </c>
      <c r="F103" s="370">
        <f t="shared" si="20"/>
        <v>-4.5999999999999996</v>
      </c>
      <c r="G103" s="27"/>
      <c r="H103" s="69">
        <v>0</v>
      </c>
      <c r="I103" s="370">
        <v>-1.3</v>
      </c>
      <c r="J103" s="370">
        <v>-3.3</v>
      </c>
      <c r="K103" s="370">
        <f t="shared" si="21"/>
        <v>-4.5999999999999996</v>
      </c>
      <c r="L103" s="27"/>
      <c r="M103" s="261" t="s">
        <v>59</v>
      </c>
      <c r="N103" s="251" t="s">
        <v>124</v>
      </c>
    </row>
    <row r="104" spans="1:14" outlineLevel="1" x14ac:dyDescent="0.25">
      <c r="A104" s="259"/>
      <c r="B104" s="247" t="s">
        <v>65</v>
      </c>
      <c r="C104" s="137">
        <f t="shared" ref="C104:G104" si="22">SUM(C105:C110)</f>
        <v>-12.7</v>
      </c>
      <c r="D104" s="138">
        <f>SUM(D105:D111)</f>
        <v>-107.13</v>
      </c>
      <c r="E104" s="138">
        <f>SUM(E105:E111)</f>
        <v>-76.749999999999986</v>
      </c>
      <c r="F104" s="138">
        <f t="shared" si="20"/>
        <v>-196.57999999999998</v>
      </c>
      <c r="G104" s="46">
        <f t="shared" si="22"/>
        <v>337</v>
      </c>
      <c r="H104" s="137">
        <v>-12.7</v>
      </c>
      <c r="I104" s="138">
        <v>-107.92999999999999</v>
      </c>
      <c r="J104" s="138">
        <v>-31.450000000000003</v>
      </c>
      <c r="K104" s="138">
        <f t="shared" si="21"/>
        <v>-152.07999999999998</v>
      </c>
      <c r="L104" s="46">
        <f>SUM(L105:L111)</f>
        <v>353</v>
      </c>
      <c r="M104" s="281"/>
      <c r="N104" s="257"/>
    </row>
    <row r="105" spans="1:14" s="142" customFormat="1" ht="30" outlineLevel="1" x14ac:dyDescent="0.25">
      <c r="A105" s="248" t="s">
        <v>12</v>
      </c>
      <c r="B105" s="249" t="s">
        <v>66</v>
      </c>
      <c r="C105" s="140">
        <v>-7.7</v>
      </c>
      <c r="D105" s="369">
        <v>0</v>
      </c>
      <c r="E105" s="369">
        <v>0</v>
      </c>
      <c r="F105" s="369">
        <f t="shared" si="20"/>
        <v>-7.7</v>
      </c>
      <c r="G105" s="47"/>
      <c r="H105" s="140">
        <v>-7.7</v>
      </c>
      <c r="I105" s="369">
        <v>0</v>
      </c>
      <c r="J105" s="369">
        <v>0</v>
      </c>
      <c r="K105" s="369">
        <f t="shared" si="21"/>
        <v>-7.7</v>
      </c>
      <c r="L105" s="47"/>
      <c r="M105" s="261" t="s">
        <v>67</v>
      </c>
      <c r="N105" s="251" t="s">
        <v>125</v>
      </c>
    </row>
    <row r="106" spans="1:14" s="142" customFormat="1" ht="30" outlineLevel="1" x14ac:dyDescent="0.25">
      <c r="A106" s="248" t="s">
        <v>12</v>
      </c>
      <c r="B106" s="249" t="s">
        <v>68</v>
      </c>
      <c r="C106" s="140">
        <v>-4</v>
      </c>
      <c r="D106" s="370">
        <v>-15.6</v>
      </c>
      <c r="E106" s="369">
        <v>-16.100000000000001</v>
      </c>
      <c r="F106" s="369">
        <f t="shared" si="20"/>
        <v>-35.700000000000003</v>
      </c>
      <c r="G106" s="47">
        <v>132</v>
      </c>
      <c r="H106" s="140">
        <v>-4</v>
      </c>
      <c r="I106" s="369">
        <v>-15.6</v>
      </c>
      <c r="J106" s="369">
        <v>-16</v>
      </c>
      <c r="K106" s="369">
        <f t="shared" si="21"/>
        <v>-35.6</v>
      </c>
      <c r="L106" s="47">
        <v>132</v>
      </c>
      <c r="M106" s="261" t="s">
        <v>69</v>
      </c>
      <c r="N106" s="251" t="s">
        <v>144</v>
      </c>
    </row>
    <row r="107" spans="1:14" ht="45" outlineLevel="1" x14ac:dyDescent="0.25">
      <c r="A107" s="248" t="s">
        <v>12</v>
      </c>
      <c r="B107" s="249" t="s">
        <v>140</v>
      </c>
      <c r="C107" s="140">
        <v>-1</v>
      </c>
      <c r="D107" s="370">
        <v>-3.7</v>
      </c>
      <c r="E107" s="369">
        <v>-3.7</v>
      </c>
      <c r="F107" s="369">
        <f t="shared" si="20"/>
        <v>-8.4</v>
      </c>
      <c r="G107" s="47">
        <v>15</v>
      </c>
      <c r="H107" s="140">
        <v>-1</v>
      </c>
      <c r="I107" s="369">
        <v>-3.7</v>
      </c>
      <c r="J107" s="369">
        <v>-3.7</v>
      </c>
      <c r="K107" s="369">
        <f t="shared" si="21"/>
        <v>-8.4</v>
      </c>
      <c r="L107" s="47">
        <v>15</v>
      </c>
      <c r="M107" s="261" t="s">
        <v>69</v>
      </c>
      <c r="N107" s="251" t="s">
        <v>126</v>
      </c>
    </row>
    <row r="108" spans="1:14" ht="30" outlineLevel="1" x14ac:dyDescent="0.25">
      <c r="A108" s="252"/>
      <c r="B108" s="253" t="s">
        <v>66</v>
      </c>
      <c r="C108" s="69">
        <v>0</v>
      </c>
      <c r="D108" s="370">
        <v>-75</v>
      </c>
      <c r="E108" s="369">
        <v>-45.5</v>
      </c>
      <c r="F108" s="369">
        <f t="shared" si="20"/>
        <v>-120.5</v>
      </c>
      <c r="G108" s="27"/>
      <c r="H108" s="69">
        <v>0</v>
      </c>
      <c r="I108" s="369">
        <v>-75</v>
      </c>
      <c r="J108" s="369">
        <v>0</v>
      </c>
      <c r="K108" s="369">
        <f t="shared" si="21"/>
        <v>-75</v>
      </c>
      <c r="L108" s="27"/>
      <c r="M108" s="261" t="s">
        <v>67</v>
      </c>
      <c r="N108" s="251" t="s">
        <v>70</v>
      </c>
    </row>
    <row r="109" spans="1:14" ht="36.75" outlineLevel="1" x14ac:dyDescent="0.25">
      <c r="A109" s="252"/>
      <c r="B109" s="253" t="s">
        <v>68</v>
      </c>
      <c r="C109" s="69">
        <v>0</v>
      </c>
      <c r="D109" s="370">
        <v>-10.3</v>
      </c>
      <c r="E109" s="369">
        <v>-10.6</v>
      </c>
      <c r="F109" s="369">
        <f t="shared" si="20"/>
        <v>-20.9</v>
      </c>
      <c r="G109" s="27">
        <v>180</v>
      </c>
      <c r="H109" s="69">
        <v>0</v>
      </c>
      <c r="I109" s="369">
        <v>-11.1</v>
      </c>
      <c r="J109" s="369">
        <v>-10.9</v>
      </c>
      <c r="K109" s="369">
        <f t="shared" si="21"/>
        <v>-22</v>
      </c>
      <c r="L109" s="27">
        <v>190</v>
      </c>
      <c r="M109" s="261" t="s">
        <v>69</v>
      </c>
      <c r="N109" s="251" t="s">
        <v>170</v>
      </c>
    </row>
    <row r="110" spans="1:14" outlineLevel="1" x14ac:dyDescent="0.25">
      <c r="A110" s="252"/>
      <c r="B110" s="253" t="s">
        <v>113</v>
      </c>
      <c r="C110" s="69"/>
      <c r="D110" s="370">
        <v>-0.73</v>
      </c>
      <c r="E110" s="369">
        <v>-0.75</v>
      </c>
      <c r="F110" s="369">
        <f t="shared" si="20"/>
        <v>-1.48</v>
      </c>
      <c r="G110" s="27">
        <v>10</v>
      </c>
      <c r="H110" s="69"/>
      <c r="I110" s="369">
        <v>-0.73</v>
      </c>
      <c r="J110" s="369">
        <v>-0.75</v>
      </c>
      <c r="K110" s="369">
        <f t="shared" si="21"/>
        <v>-1.48</v>
      </c>
      <c r="L110" s="27">
        <v>10</v>
      </c>
      <c r="M110" s="261" t="s">
        <v>69</v>
      </c>
      <c r="N110" s="251"/>
    </row>
    <row r="111" spans="1:14" outlineLevel="1" x14ac:dyDescent="0.25">
      <c r="A111" s="252"/>
      <c r="B111" s="253" t="s">
        <v>148</v>
      </c>
      <c r="C111" s="69"/>
      <c r="D111" s="370">
        <v>-1.8</v>
      </c>
      <c r="E111" s="369">
        <v>-0.1</v>
      </c>
      <c r="F111" s="369">
        <f t="shared" si="20"/>
        <v>-1.9000000000000001</v>
      </c>
      <c r="G111" s="27">
        <v>6</v>
      </c>
      <c r="H111" s="69"/>
      <c r="I111" s="369">
        <v>-1.8</v>
      </c>
      <c r="J111" s="369">
        <v>-0.1</v>
      </c>
      <c r="K111" s="369">
        <f t="shared" si="21"/>
        <v>-1.9000000000000001</v>
      </c>
      <c r="L111" s="27">
        <v>6</v>
      </c>
      <c r="M111" s="261" t="s">
        <v>69</v>
      </c>
      <c r="N111" s="251" t="s">
        <v>149</v>
      </c>
    </row>
    <row r="112" spans="1:14" outlineLevel="1" x14ac:dyDescent="0.25">
      <c r="A112" s="263"/>
      <c r="B112" s="264" t="s">
        <v>71</v>
      </c>
      <c r="C112" s="137">
        <f>SUM(C113:C116)</f>
        <v>-5.0999999999999996</v>
      </c>
      <c r="D112" s="138">
        <f>SUM(D113:D118)</f>
        <v>-6.85</v>
      </c>
      <c r="E112" s="138">
        <f>SUM(E113:E118)</f>
        <v>-9.0500000000000007</v>
      </c>
      <c r="F112" s="138">
        <f t="shared" si="20"/>
        <v>-21</v>
      </c>
      <c r="G112" s="146"/>
      <c r="H112" s="137">
        <v>-5.0999999999999996</v>
      </c>
      <c r="I112" s="138">
        <v>-7.85</v>
      </c>
      <c r="J112" s="138">
        <v>-10.050000000000001</v>
      </c>
      <c r="K112" s="138">
        <f t="shared" si="21"/>
        <v>-23</v>
      </c>
      <c r="L112" s="146"/>
      <c r="M112" s="265"/>
      <c r="N112" s="266"/>
    </row>
    <row r="113" spans="1:14" s="142" customFormat="1" ht="24.75" outlineLevel="1" x14ac:dyDescent="0.25">
      <c r="A113" s="248" t="s">
        <v>12</v>
      </c>
      <c r="B113" s="249" t="s">
        <v>72</v>
      </c>
      <c r="C113" s="140">
        <v>-5.0999999999999996</v>
      </c>
      <c r="D113" s="369">
        <v>-4.0999999999999996</v>
      </c>
      <c r="E113" s="369">
        <v>-4.3</v>
      </c>
      <c r="F113" s="369">
        <f t="shared" si="20"/>
        <v>-13.5</v>
      </c>
      <c r="G113" s="47"/>
      <c r="H113" s="140">
        <v>-5.0999999999999996</v>
      </c>
      <c r="I113" s="369">
        <v>-3.1</v>
      </c>
      <c r="J113" s="369">
        <v>-3.3</v>
      </c>
      <c r="K113" s="369">
        <f t="shared" si="21"/>
        <v>-11.5</v>
      </c>
      <c r="L113" s="47"/>
      <c r="M113" s="261" t="s">
        <v>59</v>
      </c>
      <c r="N113" s="251" t="s">
        <v>143</v>
      </c>
    </row>
    <row r="114" spans="1:14" ht="30" outlineLevel="1" x14ac:dyDescent="0.25">
      <c r="A114" s="252"/>
      <c r="B114" s="253" t="s">
        <v>132</v>
      </c>
      <c r="C114" s="69"/>
      <c r="D114" s="369"/>
      <c r="E114" s="369">
        <v>-2</v>
      </c>
      <c r="F114" s="369">
        <f t="shared" si="20"/>
        <v>-2</v>
      </c>
      <c r="G114" s="27"/>
      <c r="H114" s="69"/>
      <c r="I114" s="369"/>
      <c r="J114" s="369">
        <v>-2</v>
      </c>
      <c r="K114" s="369">
        <f t="shared" si="21"/>
        <v>-2</v>
      </c>
      <c r="L114" s="27"/>
      <c r="M114" s="261" t="s">
        <v>59</v>
      </c>
      <c r="N114" s="251" t="s">
        <v>130</v>
      </c>
    </row>
    <row r="115" spans="1:14" ht="30" outlineLevel="1" x14ac:dyDescent="0.25">
      <c r="A115" s="252"/>
      <c r="B115" s="253" t="s">
        <v>114</v>
      </c>
      <c r="C115" s="69"/>
      <c r="D115" s="369">
        <v>-1</v>
      </c>
      <c r="E115" s="369">
        <v>-1</v>
      </c>
      <c r="F115" s="369">
        <f t="shared" si="20"/>
        <v>-2</v>
      </c>
      <c r="G115" s="27"/>
      <c r="H115" s="69"/>
      <c r="I115" s="369">
        <v>-1</v>
      </c>
      <c r="J115" s="369">
        <v>-1</v>
      </c>
      <c r="K115" s="369">
        <f t="shared" si="21"/>
        <v>-2</v>
      </c>
      <c r="L115" s="27"/>
      <c r="M115" s="261" t="s">
        <v>59</v>
      </c>
      <c r="N115" s="251" t="s">
        <v>127</v>
      </c>
    </row>
    <row r="116" spans="1:14" ht="24.75" outlineLevel="1" x14ac:dyDescent="0.25">
      <c r="A116" s="252"/>
      <c r="B116" s="253" t="s">
        <v>115</v>
      </c>
      <c r="C116" s="69"/>
      <c r="D116" s="369">
        <v>-0.75</v>
      </c>
      <c r="E116" s="369">
        <v>-0.75</v>
      </c>
      <c r="F116" s="369">
        <f t="shared" si="20"/>
        <v>-1.5</v>
      </c>
      <c r="G116" s="27"/>
      <c r="H116" s="69"/>
      <c r="I116" s="369">
        <v>-0.75</v>
      </c>
      <c r="J116" s="369">
        <v>-0.75</v>
      </c>
      <c r="K116" s="369">
        <f t="shared" si="21"/>
        <v>-1.5</v>
      </c>
      <c r="L116" s="27"/>
      <c r="M116" s="261" t="s">
        <v>59</v>
      </c>
      <c r="N116" s="251" t="s">
        <v>127</v>
      </c>
    </row>
    <row r="117" spans="1:14" ht="30" outlineLevel="1" x14ac:dyDescent="0.25">
      <c r="A117" s="252"/>
      <c r="B117" s="253" t="s">
        <v>150</v>
      </c>
      <c r="C117" s="69"/>
      <c r="D117" s="369">
        <v>0</v>
      </c>
      <c r="E117" s="369">
        <v>0</v>
      </c>
      <c r="F117" s="369">
        <f t="shared" si="20"/>
        <v>0</v>
      </c>
      <c r="G117" s="27"/>
      <c r="H117" s="69"/>
      <c r="I117" s="369">
        <v>-2</v>
      </c>
      <c r="J117" s="369">
        <v>-2</v>
      </c>
      <c r="K117" s="369">
        <f t="shared" si="21"/>
        <v>-4</v>
      </c>
      <c r="L117" s="27"/>
      <c r="M117" s="261" t="s">
        <v>59</v>
      </c>
      <c r="N117" s="251" t="s">
        <v>151</v>
      </c>
    </row>
    <row r="118" spans="1:14" ht="30" outlineLevel="1" x14ac:dyDescent="0.25">
      <c r="A118" s="252"/>
      <c r="B118" s="253" t="s">
        <v>152</v>
      </c>
      <c r="C118" s="69"/>
      <c r="D118" s="369">
        <v>-1</v>
      </c>
      <c r="E118" s="369">
        <v>-1</v>
      </c>
      <c r="F118" s="369">
        <f t="shared" si="20"/>
        <v>-2</v>
      </c>
      <c r="G118" s="27"/>
      <c r="H118" s="69"/>
      <c r="I118" s="369">
        <v>-1</v>
      </c>
      <c r="J118" s="369">
        <v>-1</v>
      </c>
      <c r="K118" s="369">
        <f t="shared" si="21"/>
        <v>-2</v>
      </c>
      <c r="L118" s="27"/>
      <c r="M118" s="261" t="s">
        <v>59</v>
      </c>
      <c r="N118" s="251" t="s">
        <v>153</v>
      </c>
    </row>
    <row r="119" spans="1:14" ht="30" outlineLevel="1" x14ac:dyDescent="0.25">
      <c r="A119" s="259"/>
      <c r="B119" s="247" t="s">
        <v>73</v>
      </c>
      <c r="C119" s="137">
        <f>SUM(C120:C121)</f>
        <v>-2</v>
      </c>
      <c r="D119" s="138">
        <f>SUM(D120:D121)</f>
        <v>-7.1000000000000005</v>
      </c>
      <c r="E119" s="138">
        <f>SUM(E120:E121)</f>
        <v>-7.3999999999999995</v>
      </c>
      <c r="F119" s="138">
        <f t="shared" si="20"/>
        <v>-16.5</v>
      </c>
      <c r="G119" s="39"/>
      <c r="H119" s="137">
        <v>-2</v>
      </c>
      <c r="I119" s="138">
        <v>-8.93</v>
      </c>
      <c r="J119" s="138">
        <v>-9.5</v>
      </c>
      <c r="K119" s="138">
        <f t="shared" si="21"/>
        <v>-20.43</v>
      </c>
      <c r="L119" s="39"/>
      <c r="M119" s="265"/>
      <c r="N119" s="266"/>
    </row>
    <row r="120" spans="1:14" s="142" customFormat="1" outlineLevel="1" x14ac:dyDescent="0.25">
      <c r="A120" s="248" t="s">
        <v>12</v>
      </c>
      <c r="B120" s="267" t="s">
        <v>131</v>
      </c>
      <c r="C120" s="140">
        <v>-2</v>
      </c>
      <c r="D120" s="369">
        <v>-5.4</v>
      </c>
      <c r="E120" s="369">
        <v>-5.6</v>
      </c>
      <c r="F120" s="369">
        <f t="shared" si="20"/>
        <v>-13</v>
      </c>
      <c r="G120" s="47"/>
      <c r="H120" s="140">
        <v>-2</v>
      </c>
      <c r="I120" s="369">
        <v>-5.36</v>
      </c>
      <c r="J120" s="369">
        <v>-5.3</v>
      </c>
      <c r="K120" s="369">
        <f t="shared" si="21"/>
        <v>-12.66</v>
      </c>
      <c r="L120" s="47"/>
      <c r="M120" s="261" t="s">
        <v>74</v>
      </c>
      <c r="N120" s="262"/>
    </row>
    <row r="121" spans="1:14" outlineLevel="1" x14ac:dyDescent="0.25">
      <c r="A121" s="252"/>
      <c r="B121" s="268" t="s">
        <v>131</v>
      </c>
      <c r="C121" s="147"/>
      <c r="D121" s="369">
        <v>-1.7</v>
      </c>
      <c r="E121" s="369">
        <v>-1.8</v>
      </c>
      <c r="F121" s="369">
        <f t="shared" si="20"/>
        <v>-3.5</v>
      </c>
      <c r="G121" s="59"/>
      <c r="H121" s="147"/>
      <c r="I121" s="369">
        <v>-3.57</v>
      </c>
      <c r="J121" s="369">
        <v>-4.2</v>
      </c>
      <c r="K121" s="369">
        <f t="shared" si="21"/>
        <v>-7.77</v>
      </c>
      <c r="L121" s="59"/>
      <c r="M121" s="250" t="s">
        <v>74</v>
      </c>
      <c r="N121" s="27"/>
    </row>
    <row r="122" spans="1:14" outlineLevel="1" x14ac:dyDescent="0.25">
      <c r="A122" s="269"/>
      <c r="B122" s="270" t="s">
        <v>35</v>
      </c>
      <c r="C122" s="388">
        <f>SUM(C123)</f>
        <v>-16.100000000000001</v>
      </c>
      <c r="D122" s="144">
        <v>0</v>
      </c>
      <c r="E122" s="144">
        <v>0</v>
      </c>
      <c r="F122" s="138">
        <f t="shared" si="20"/>
        <v>-16.100000000000001</v>
      </c>
      <c r="G122" s="145"/>
      <c r="H122" s="143">
        <v>0</v>
      </c>
      <c r="I122" s="144">
        <v>0</v>
      </c>
      <c r="J122" s="144">
        <v>0</v>
      </c>
      <c r="K122" s="138">
        <f t="shared" si="21"/>
        <v>0</v>
      </c>
      <c r="L122" s="145"/>
      <c r="M122" s="271"/>
      <c r="N122" s="272"/>
    </row>
    <row r="123" spans="1:14" ht="49.5" outlineLevel="1" thickBot="1" x14ac:dyDescent="0.3">
      <c r="A123" s="273"/>
      <c r="B123" s="386" t="s">
        <v>178</v>
      </c>
      <c r="C123" s="387">
        <v>-16.100000000000001</v>
      </c>
      <c r="D123" s="275">
        <v>0</v>
      </c>
      <c r="E123" s="275">
        <v>0</v>
      </c>
      <c r="F123" s="275">
        <f>SUM(C123:E123)</f>
        <v>-16.100000000000001</v>
      </c>
      <c r="G123" s="276"/>
      <c r="H123" s="274">
        <v>0</v>
      </c>
      <c r="I123" s="275">
        <v>0</v>
      </c>
      <c r="J123" s="275">
        <v>0</v>
      </c>
      <c r="K123" s="275"/>
      <c r="L123" s="276"/>
      <c r="M123" s="277"/>
      <c r="N123" s="389" t="s">
        <v>177</v>
      </c>
    </row>
    <row r="124" spans="1:14" ht="15.75" thickBot="1" x14ac:dyDescent="0.3">
      <c r="A124" s="205"/>
      <c r="B124" s="289"/>
      <c r="C124" s="25"/>
      <c r="D124" s="26"/>
      <c r="E124" s="26"/>
      <c r="F124" s="26"/>
      <c r="G124" s="132"/>
      <c r="H124" s="25"/>
      <c r="I124" s="26"/>
      <c r="J124" s="26"/>
      <c r="K124" s="26"/>
      <c r="L124" s="132"/>
      <c r="M124" s="26"/>
      <c r="N124" s="27"/>
    </row>
    <row r="125" spans="1:14" ht="15" customHeight="1" thickBot="1" x14ac:dyDescent="0.3">
      <c r="A125" s="205"/>
      <c r="B125" s="289"/>
      <c r="C125" s="392" t="s">
        <v>163</v>
      </c>
      <c r="D125" s="393"/>
      <c r="E125" s="393"/>
      <c r="F125" s="393"/>
      <c r="G125" s="394"/>
      <c r="H125" s="392" t="s">
        <v>164</v>
      </c>
      <c r="I125" s="393"/>
      <c r="J125" s="393"/>
      <c r="K125" s="393"/>
      <c r="L125" s="394"/>
      <c r="M125" s="26"/>
      <c r="N125" s="27"/>
    </row>
    <row r="126" spans="1:14" ht="60" x14ac:dyDescent="0.25">
      <c r="A126" s="397" t="s">
        <v>76</v>
      </c>
      <c r="B126" s="398"/>
      <c r="C126" s="7" t="s">
        <v>1</v>
      </c>
      <c r="D126" s="8" t="s">
        <v>2</v>
      </c>
      <c r="E126" s="8" t="s">
        <v>3</v>
      </c>
      <c r="F126" s="198" t="s">
        <v>165</v>
      </c>
      <c r="G126" s="9" t="s">
        <v>4</v>
      </c>
      <c r="H126" s="7" t="s">
        <v>1</v>
      </c>
      <c r="I126" s="8" t="s">
        <v>2</v>
      </c>
      <c r="J126" s="8" t="s">
        <v>3</v>
      </c>
      <c r="K126" s="198" t="s">
        <v>165</v>
      </c>
      <c r="L126" s="9" t="s">
        <v>4</v>
      </c>
      <c r="M126" s="8" t="s">
        <v>5</v>
      </c>
      <c r="N126" s="9" t="s">
        <v>6</v>
      </c>
    </row>
    <row r="127" spans="1:14" ht="24.75" x14ac:dyDescent="0.25">
      <c r="A127" s="325" t="s">
        <v>7</v>
      </c>
      <c r="B127" s="326"/>
      <c r="C127" s="148">
        <v>101.2452</v>
      </c>
      <c r="D127" s="149">
        <v>49.959899999999998</v>
      </c>
      <c r="E127" s="149">
        <v>53.189138355470163</v>
      </c>
      <c r="F127" s="149">
        <f>SUM(C127:E127)</f>
        <v>204.39423835547015</v>
      </c>
      <c r="G127" s="150"/>
      <c r="H127" s="151">
        <v>101.2452</v>
      </c>
      <c r="I127" s="367">
        <v>49.85</v>
      </c>
      <c r="J127" s="367">
        <v>53</v>
      </c>
      <c r="K127" s="149">
        <f>SUM(H127:J127)</f>
        <v>204.09520000000001</v>
      </c>
      <c r="L127" s="150"/>
      <c r="M127" s="327"/>
      <c r="N127" s="381" t="s">
        <v>169</v>
      </c>
    </row>
    <row r="128" spans="1:14" x14ac:dyDescent="0.25">
      <c r="A128" s="328" t="s">
        <v>8</v>
      </c>
      <c r="B128" s="326"/>
      <c r="C128" s="152">
        <f>C132+C147+C153+C155+C150</f>
        <v>-91.100000000000009</v>
      </c>
      <c r="D128" s="226">
        <f>D132+D147+D150</f>
        <v>-50</v>
      </c>
      <c r="E128" s="226">
        <f>E132+E147+E150</f>
        <v>-53.2</v>
      </c>
      <c r="F128" s="226">
        <f>SUM(C128:E128)</f>
        <v>-194.3</v>
      </c>
      <c r="G128" s="153">
        <f>G132+G147+G150</f>
        <v>8925</v>
      </c>
      <c r="H128" s="152">
        <f>H132+H147+H153+H155</f>
        <v>-3.4000000000000004</v>
      </c>
      <c r="I128" s="226">
        <f>I132+I147+I150</f>
        <v>-60.12</v>
      </c>
      <c r="J128" s="226">
        <f>J132+J147+J150</f>
        <v>-76.27000000000001</v>
      </c>
      <c r="K128" s="226">
        <f>SUM(H128:J128)</f>
        <v>-139.79000000000002</v>
      </c>
      <c r="L128" s="153">
        <f>L132+L147</f>
        <v>7190</v>
      </c>
      <c r="M128" s="329"/>
      <c r="N128" s="382"/>
    </row>
    <row r="129" spans="1:15" x14ac:dyDescent="0.25">
      <c r="A129" s="328" t="s">
        <v>9</v>
      </c>
      <c r="B129" s="326"/>
      <c r="C129" s="152">
        <f>C127+C128</f>
        <v>10.145199999999988</v>
      </c>
      <c r="D129" s="226">
        <f>D127+D128</f>
        <v>-4.0100000000002467E-2</v>
      </c>
      <c r="E129" s="226">
        <f>E127+E128</f>
        <v>-1.0861644529839509E-2</v>
      </c>
      <c r="F129" s="226">
        <f>SUM(C129:E129)</f>
        <v>10.094238355470146</v>
      </c>
      <c r="G129" s="154"/>
      <c r="H129" s="152">
        <f>H127+H128</f>
        <v>97.845199999999991</v>
      </c>
      <c r="I129" s="226">
        <f>I127+I128</f>
        <v>-10.269999999999996</v>
      </c>
      <c r="J129" s="226">
        <f>J127+J128</f>
        <v>-23.27000000000001</v>
      </c>
      <c r="K129" s="226">
        <f>SUM(H129:J129)</f>
        <v>64.305199999999985</v>
      </c>
      <c r="L129" s="154"/>
      <c r="M129" s="329"/>
      <c r="N129" s="382"/>
    </row>
    <row r="130" spans="1:15" ht="25.5" thickBot="1" x14ac:dyDescent="0.3">
      <c r="A130" s="328" t="s">
        <v>155</v>
      </c>
      <c r="B130" s="326"/>
      <c r="C130" s="152">
        <f>SUM(C129:E129)*-1</f>
        <v>-10.094238355470146</v>
      </c>
      <c r="D130" s="226"/>
      <c r="E130" s="226"/>
      <c r="F130" s="226">
        <f>SUM(C130:E130)</f>
        <v>-10.094238355470146</v>
      </c>
      <c r="G130" s="154"/>
      <c r="H130" s="152">
        <f>-(SUM(H129:J129)+C155)</f>
        <v>-22.505199999999988</v>
      </c>
      <c r="I130" s="226"/>
      <c r="J130" s="226"/>
      <c r="K130" s="226">
        <f>SUM(H130:J130)</f>
        <v>-22.505199999999988</v>
      </c>
      <c r="L130" s="154"/>
      <c r="M130" s="329"/>
      <c r="N130" s="383" t="s">
        <v>156</v>
      </c>
    </row>
    <row r="131" spans="1:15" ht="15.75" thickBot="1" x14ac:dyDescent="0.3">
      <c r="A131" s="346" t="s">
        <v>44</v>
      </c>
      <c r="B131" s="347"/>
      <c r="C131" s="348"/>
      <c r="D131" s="349"/>
      <c r="E131" s="349"/>
      <c r="F131" s="349"/>
      <c r="G131" s="350"/>
      <c r="H131" s="348"/>
      <c r="I131" s="349"/>
      <c r="J131" s="349"/>
      <c r="K131" s="349"/>
      <c r="L131" s="350"/>
      <c r="M131" s="349"/>
      <c r="N131" s="351"/>
      <c r="O131" s="1"/>
    </row>
    <row r="132" spans="1:15" outlineLevel="1" x14ac:dyDescent="0.25">
      <c r="A132" s="352"/>
      <c r="B132" s="353" t="s">
        <v>77</v>
      </c>
      <c r="C132" s="354">
        <f>SUM(C133:C134)</f>
        <v>-34.800000000000004</v>
      </c>
      <c r="D132" s="355">
        <f>SUM(D133:D134)</f>
        <v>-9</v>
      </c>
      <c r="E132" s="355">
        <f>SUM(E133:E146)</f>
        <v>-3.5</v>
      </c>
      <c r="F132" s="355">
        <f>SUM(C132:E132)</f>
        <v>-47.300000000000004</v>
      </c>
      <c r="G132" s="356">
        <f>SUM(G133:G134)</f>
        <v>1625</v>
      </c>
      <c r="H132" s="354">
        <v>-2.1</v>
      </c>
      <c r="I132" s="355">
        <v>-22.47</v>
      </c>
      <c r="J132" s="355">
        <v>-23.869999999999997</v>
      </c>
      <c r="K132" s="355">
        <f>SUM(H132:J132)</f>
        <v>-48.44</v>
      </c>
      <c r="L132" s="356">
        <f>SUM(L133:L146)</f>
        <v>2690</v>
      </c>
      <c r="M132" s="357"/>
      <c r="N132" s="358"/>
    </row>
    <row r="133" spans="1:15" ht="30" outlineLevel="1" x14ac:dyDescent="0.25">
      <c r="A133" s="248" t="s">
        <v>12</v>
      </c>
      <c r="B133" s="267" t="s">
        <v>78</v>
      </c>
      <c r="C133" s="157">
        <v>-2.1</v>
      </c>
      <c r="D133" s="158"/>
      <c r="E133" s="158"/>
      <c r="F133" s="158">
        <f>SUM(C133:E133)</f>
        <v>-2.1</v>
      </c>
      <c r="G133" s="47">
        <v>125</v>
      </c>
      <c r="H133" s="33">
        <v>-2.1</v>
      </c>
      <c r="I133" s="220"/>
      <c r="J133" s="219"/>
      <c r="K133" s="158">
        <f>SUM(H133:J133)</f>
        <v>-2.1</v>
      </c>
      <c r="L133" s="161">
        <v>125</v>
      </c>
      <c r="M133" s="250" t="s">
        <v>79</v>
      </c>
      <c r="N133" s="290"/>
    </row>
    <row r="134" spans="1:15" ht="84.75" outlineLevel="1" x14ac:dyDescent="0.25">
      <c r="A134" s="252"/>
      <c r="B134" s="268" t="s">
        <v>204</v>
      </c>
      <c r="C134" s="159">
        <v>-32.700000000000003</v>
      </c>
      <c r="D134" s="160">
        <v>-9</v>
      </c>
      <c r="E134" s="160">
        <v>0</v>
      </c>
      <c r="F134" s="160">
        <f>SUM(C134:E134)</f>
        <v>-41.7</v>
      </c>
      <c r="G134" s="27">
        <v>1500</v>
      </c>
      <c r="H134" s="36"/>
      <c r="I134" s="221"/>
      <c r="J134" s="219"/>
      <c r="K134" s="160">
        <f>SUM(H134:J134)</f>
        <v>0</v>
      </c>
      <c r="L134" s="161"/>
      <c r="M134" s="250" t="s">
        <v>79</v>
      </c>
      <c r="N134" s="292" t="s">
        <v>205</v>
      </c>
    </row>
    <row r="135" spans="1:15" ht="36.75" outlineLevel="1" x14ac:dyDescent="0.25">
      <c r="A135" s="252"/>
      <c r="B135" s="268" t="s">
        <v>179</v>
      </c>
      <c r="C135" s="159"/>
      <c r="D135" s="160"/>
      <c r="E135" s="160"/>
      <c r="F135" s="160"/>
      <c r="G135" s="27"/>
      <c r="H135" s="36"/>
      <c r="I135" s="221">
        <v>-2</v>
      </c>
      <c r="J135" s="221">
        <v>-2</v>
      </c>
      <c r="K135" s="160">
        <f t="shared" ref="K135:K145" si="23">SUM(H135:J135)</f>
        <v>-4</v>
      </c>
      <c r="L135" s="161">
        <v>266</v>
      </c>
      <c r="M135" s="250" t="s">
        <v>79</v>
      </c>
      <c r="N135" s="292" t="s">
        <v>180</v>
      </c>
    </row>
    <row r="136" spans="1:15" ht="45" outlineLevel="1" x14ac:dyDescent="0.25">
      <c r="A136" s="252"/>
      <c r="B136" s="268" t="s">
        <v>181</v>
      </c>
      <c r="C136" s="159"/>
      <c r="D136" s="160"/>
      <c r="E136" s="160"/>
      <c r="F136" s="160"/>
      <c r="G136" s="27"/>
      <c r="H136" s="36"/>
      <c r="I136" s="221">
        <v>-1</v>
      </c>
      <c r="J136" s="221">
        <v>-1</v>
      </c>
      <c r="K136" s="160">
        <f t="shared" si="23"/>
        <v>-2</v>
      </c>
      <c r="L136" s="161">
        <v>133</v>
      </c>
      <c r="M136" s="250" t="s">
        <v>79</v>
      </c>
      <c r="N136" s="292" t="s">
        <v>182</v>
      </c>
    </row>
    <row r="137" spans="1:15" ht="36.75" outlineLevel="1" x14ac:dyDescent="0.25">
      <c r="A137" s="252"/>
      <c r="B137" s="268" t="s">
        <v>197</v>
      </c>
      <c r="C137" s="159"/>
      <c r="D137" s="160"/>
      <c r="E137" s="160"/>
      <c r="F137" s="160"/>
      <c r="G137" s="27"/>
      <c r="H137" s="36"/>
      <c r="I137" s="221">
        <v>-3.12</v>
      </c>
      <c r="J137" s="221">
        <v>-3.12</v>
      </c>
      <c r="K137" s="160">
        <f t="shared" si="23"/>
        <v>-6.24</v>
      </c>
      <c r="L137" s="161">
        <v>416</v>
      </c>
      <c r="M137" s="250" t="s">
        <v>79</v>
      </c>
      <c r="N137" s="292" t="s">
        <v>198</v>
      </c>
    </row>
    <row r="138" spans="1:15" ht="30" outlineLevel="1" x14ac:dyDescent="0.25">
      <c r="A138" s="252"/>
      <c r="B138" s="268" t="s">
        <v>186</v>
      </c>
      <c r="C138" s="159"/>
      <c r="D138" s="160"/>
      <c r="E138" s="160"/>
      <c r="F138" s="160"/>
      <c r="G138" s="27"/>
      <c r="H138" s="36"/>
      <c r="I138" s="221">
        <v>-2.1</v>
      </c>
      <c r="J138" s="221">
        <v>0</v>
      </c>
      <c r="K138" s="160">
        <f t="shared" si="23"/>
        <v>-2.1</v>
      </c>
      <c r="L138" s="161">
        <v>125</v>
      </c>
      <c r="M138" s="250" t="s">
        <v>79</v>
      </c>
      <c r="N138" s="292" t="s">
        <v>185</v>
      </c>
    </row>
    <row r="139" spans="1:15" ht="36.75" outlineLevel="1" x14ac:dyDescent="0.25">
      <c r="A139" s="252"/>
      <c r="B139" s="268" t="s">
        <v>187</v>
      </c>
      <c r="C139" s="159"/>
      <c r="D139" s="160"/>
      <c r="E139" s="160"/>
      <c r="F139" s="160"/>
      <c r="G139" s="27"/>
      <c r="H139" s="36"/>
      <c r="I139" s="221">
        <v>-3</v>
      </c>
      <c r="J139" s="221">
        <v>-3</v>
      </c>
      <c r="K139" s="160">
        <f t="shared" si="23"/>
        <v>-6</v>
      </c>
      <c r="L139" s="161">
        <v>400</v>
      </c>
      <c r="M139" s="250" t="s">
        <v>199</v>
      </c>
      <c r="N139" s="292" t="s">
        <v>188</v>
      </c>
    </row>
    <row r="140" spans="1:15" ht="36.75" outlineLevel="1" x14ac:dyDescent="0.25">
      <c r="A140" s="252"/>
      <c r="B140" s="268" t="s">
        <v>189</v>
      </c>
      <c r="C140" s="159"/>
      <c r="D140" s="160"/>
      <c r="E140" s="160"/>
      <c r="F140" s="160"/>
      <c r="G140" s="27"/>
      <c r="H140" s="36"/>
      <c r="I140" s="221">
        <v>-4.5</v>
      </c>
      <c r="J140" s="221">
        <v>-4.5</v>
      </c>
      <c r="K140" s="160">
        <f t="shared" si="23"/>
        <v>-9</v>
      </c>
      <c r="L140" s="161">
        <v>450</v>
      </c>
      <c r="M140" s="250" t="s">
        <v>79</v>
      </c>
      <c r="N140" s="292" t="s">
        <v>190</v>
      </c>
    </row>
    <row r="141" spans="1:15" ht="36.75" outlineLevel="1" x14ac:dyDescent="0.25">
      <c r="A141" s="252"/>
      <c r="B141" s="268" t="s">
        <v>191</v>
      </c>
      <c r="C141" s="159"/>
      <c r="D141" s="160"/>
      <c r="E141" s="160"/>
      <c r="F141" s="160"/>
      <c r="G141" s="27"/>
      <c r="H141" s="36"/>
      <c r="I141" s="221">
        <v>-2</v>
      </c>
      <c r="J141" s="221">
        <v>-2</v>
      </c>
      <c r="K141" s="160">
        <f t="shared" si="23"/>
        <v>-4</v>
      </c>
      <c r="L141" s="161">
        <v>265</v>
      </c>
      <c r="M141" s="250" t="s">
        <v>199</v>
      </c>
      <c r="N141" s="292" t="s">
        <v>192</v>
      </c>
    </row>
    <row r="142" spans="1:15" ht="45" outlineLevel="1" x14ac:dyDescent="0.25">
      <c r="A142" s="252"/>
      <c r="B142" s="268" t="s">
        <v>183</v>
      </c>
      <c r="C142" s="159"/>
      <c r="D142" s="160"/>
      <c r="E142" s="160"/>
      <c r="F142" s="160"/>
      <c r="G142" s="27"/>
      <c r="H142" s="36"/>
      <c r="I142" s="221">
        <v>-1</v>
      </c>
      <c r="J142" s="221">
        <v>-1</v>
      </c>
      <c r="K142" s="160">
        <f t="shared" ref="K142" si="24">SUM(H142:J142)</f>
        <v>-2</v>
      </c>
      <c r="L142" s="161">
        <v>11</v>
      </c>
      <c r="M142" s="250" t="s">
        <v>200</v>
      </c>
      <c r="N142" s="292" t="s">
        <v>184</v>
      </c>
    </row>
    <row r="143" spans="1:15" ht="36.75" outlineLevel="1" x14ac:dyDescent="0.25">
      <c r="A143" s="252"/>
      <c r="B143" s="268" t="s">
        <v>194</v>
      </c>
      <c r="C143" s="159"/>
      <c r="D143" s="160"/>
      <c r="E143" s="160"/>
      <c r="F143" s="160"/>
      <c r="G143" s="27"/>
      <c r="H143" s="36"/>
      <c r="I143" s="221">
        <v>-2</v>
      </c>
      <c r="J143" s="221">
        <v>-2</v>
      </c>
      <c r="K143" s="160">
        <f t="shared" si="23"/>
        <v>-4</v>
      </c>
      <c r="L143" s="161">
        <v>266</v>
      </c>
      <c r="M143" s="250" t="s">
        <v>79</v>
      </c>
      <c r="N143" s="292" t="s">
        <v>193</v>
      </c>
    </row>
    <row r="144" spans="1:15" ht="30" outlineLevel="1" x14ac:dyDescent="0.25">
      <c r="A144" s="252"/>
      <c r="B144" s="268" t="s">
        <v>195</v>
      </c>
      <c r="C144" s="159"/>
      <c r="D144" s="160"/>
      <c r="E144" s="160"/>
      <c r="F144" s="160"/>
      <c r="G144" s="27"/>
      <c r="H144" s="36"/>
      <c r="I144" s="221">
        <v>-0.75</v>
      </c>
      <c r="J144" s="221">
        <v>-0.75</v>
      </c>
      <c r="K144" s="160">
        <f t="shared" si="23"/>
        <v>-1.5</v>
      </c>
      <c r="L144" s="161">
        <v>100</v>
      </c>
      <c r="M144" s="250" t="s">
        <v>79</v>
      </c>
      <c r="N144" s="292" t="s">
        <v>196</v>
      </c>
    </row>
    <row r="145" spans="1:14" ht="36.75" outlineLevel="1" x14ac:dyDescent="0.25">
      <c r="A145" s="252"/>
      <c r="B145" s="268" t="s">
        <v>201</v>
      </c>
      <c r="C145" s="159"/>
      <c r="D145" s="160"/>
      <c r="E145" s="160"/>
      <c r="F145" s="160"/>
      <c r="G145" s="27"/>
      <c r="H145" s="36"/>
      <c r="I145" s="221">
        <v>-1</v>
      </c>
      <c r="J145" s="221">
        <v>-1</v>
      </c>
      <c r="K145" s="160">
        <f t="shared" si="23"/>
        <v>-2</v>
      </c>
      <c r="L145" s="161">
        <v>133</v>
      </c>
      <c r="M145" s="250" t="s">
        <v>199</v>
      </c>
      <c r="N145" s="292" t="s">
        <v>202</v>
      </c>
    </row>
    <row r="146" spans="1:14" ht="30" outlineLevel="1" x14ac:dyDescent="0.25">
      <c r="A146" s="252"/>
      <c r="B146" s="268" t="s">
        <v>80</v>
      </c>
      <c r="C146" s="162"/>
      <c r="D146" s="163">
        <v>0</v>
      </c>
      <c r="E146" s="163">
        <v>-3.5</v>
      </c>
      <c r="F146" s="160">
        <f t="shared" ref="F146" si="25">SUM(C146:E146)</f>
        <v>-3.5</v>
      </c>
      <c r="G146" s="27"/>
      <c r="H146" s="28"/>
      <c r="I146" s="221">
        <v>0</v>
      </c>
      <c r="J146" s="221">
        <v>-3.5</v>
      </c>
      <c r="K146" s="160">
        <f t="shared" ref="K146" si="26">SUM(H146:J146)</f>
        <v>-3.5</v>
      </c>
      <c r="L146" s="161">
        <v>0</v>
      </c>
      <c r="M146" s="250" t="s">
        <v>59</v>
      </c>
      <c r="N146" s="27"/>
    </row>
    <row r="147" spans="1:14" ht="15" customHeight="1" outlineLevel="1" x14ac:dyDescent="0.25">
      <c r="A147" s="259"/>
      <c r="B147" s="247" t="s">
        <v>81</v>
      </c>
      <c r="C147" s="164">
        <f t="shared" ref="C147:G147" si="27">SUM(C148:C149)</f>
        <v>-3.5</v>
      </c>
      <c r="D147" s="165">
        <f t="shared" si="27"/>
        <v>-35</v>
      </c>
      <c r="E147" s="165">
        <f t="shared" si="27"/>
        <v>-43.7</v>
      </c>
      <c r="F147" s="165">
        <f t="shared" ref="F147:F153" si="28">SUM(C147:E147)</f>
        <v>-82.2</v>
      </c>
      <c r="G147" s="166">
        <f t="shared" si="27"/>
        <v>4500</v>
      </c>
      <c r="H147" s="155">
        <v>0</v>
      </c>
      <c r="I147" s="156">
        <v>-35</v>
      </c>
      <c r="J147" s="156">
        <v>-48</v>
      </c>
      <c r="K147" s="165">
        <f t="shared" ref="K147:K153" si="29">SUM(H147:J147)</f>
        <v>-83</v>
      </c>
      <c r="L147" s="166">
        <f>SUM(L148:L150)</f>
        <v>4500</v>
      </c>
      <c r="M147" s="260"/>
      <c r="N147" s="39"/>
    </row>
    <row r="148" spans="1:14" ht="30" outlineLevel="1" x14ac:dyDescent="0.25">
      <c r="A148" s="252"/>
      <c r="B148" s="268" t="s">
        <v>82</v>
      </c>
      <c r="C148" s="159"/>
      <c r="D148" s="221">
        <v>-20</v>
      </c>
      <c r="E148" s="221">
        <v>-29.2</v>
      </c>
      <c r="F148" s="221">
        <f t="shared" si="28"/>
        <v>-49.2</v>
      </c>
      <c r="G148" s="167">
        <v>2000</v>
      </c>
      <c r="H148" s="168"/>
      <c r="I148" s="221">
        <v>-20</v>
      </c>
      <c r="J148" s="221">
        <v>-30</v>
      </c>
      <c r="K148" s="221">
        <f t="shared" si="29"/>
        <v>-50</v>
      </c>
      <c r="L148" s="167">
        <v>2000</v>
      </c>
      <c r="M148" s="250" t="s">
        <v>79</v>
      </c>
      <c r="N148" s="27"/>
    </row>
    <row r="149" spans="1:14" ht="30" outlineLevel="1" x14ac:dyDescent="0.25">
      <c r="A149" s="252"/>
      <c r="B149" s="268" t="s">
        <v>83</v>
      </c>
      <c r="C149" s="159">
        <v>-3.5</v>
      </c>
      <c r="D149" s="278">
        <v>-15</v>
      </c>
      <c r="E149" s="278">
        <v>-14.5</v>
      </c>
      <c r="F149" s="221">
        <f t="shared" si="28"/>
        <v>-33</v>
      </c>
      <c r="G149" s="167">
        <v>2500</v>
      </c>
      <c r="H149" s="168"/>
      <c r="I149" s="221">
        <v>-15</v>
      </c>
      <c r="J149" s="221">
        <v>-18</v>
      </c>
      <c r="K149" s="221">
        <f t="shared" si="29"/>
        <v>-33</v>
      </c>
      <c r="L149" s="167">
        <v>2500</v>
      </c>
      <c r="M149" s="250" t="s">
        <v>79</v>
      </c>
      <c r="N149" s="292"/>
    </row>
    <row r="150" spans="1:14" outlineLevel="1" x14ac:dyDescent="0.25">
      <c r="A150" s="259"/>
      <c r="B150" s="247" t="s">
        <v>146</v>
      </c>
      <c r="C150" s="164">
        <f>SUM(C151:C152)</f>
        <v>-9.6999999999999993</v>
      </c>
      <c r="D150" s="165">
        <f>SUM(D151:D152)</f>
        <v>-6</v>
      </c>
      <c r="E150" s="165">
        <f>SUM(E151:E152)</f>
        <v>-6</v>
      </c>
      <c r="F150" s="165">
        <f t="shared" si="28"/>
        <v>-21.7</v>
      </c>
      <c r="G150" s="169">
        <f>SUM(G151)</f>
        <v>2800</v>
      </c>
      <c r="H150" s="170"/>
      <c r="I150" s="165">
        <v>-2.65</v>
      </c>
      <c r="J150" s="165">
        <v>-4.4000000000000004</v>
      </c>
      <c r="K150" s="165">
        <f t="shared" si="29"/>
        <v>-7.0500000000000007</v>
      </c>
      <c r="L150" s="169"/>
      <c r="M150" s="260"/>
      <c r="N150" s="39"/>
    </row>
    <row r="151" spans="1:14" ht="48.75" outlineLevel="1" x14ac:dyDescent="0.25">
      <c r="A151" s="252"/>
      <c r="B151" s="268" t="s">
        <v>84</v>
      </c>
      <c r="C151" s="162">
        <v>0</v>
      </c>
      <c r="D151" s="160">
        <v>-6</v>
      </c>
      <c r="E151" s="160">
        <v>-6</v>
      </c>
      <c r="F151" s="160">
        <f t="shared" si="28"/>
        <v>-12</v>
      </c>
      <c r="G151" s="167">
        <v>2800</v>
      </c>
      <c r="H151" s="168"/>
      <c r="I151" s="227"/>
      <c r="J151" s="227"/>
      <c r="K151" s="160">
        <f t="shared" si="29"/>
        <v>0</v>
      </c>
      <c r="L151" s="167"/>
      <c r="M151" s="250" t="s">
        <v>85</v>
      </c>
      <c r="N151" s="292" t="s">
        <v>86</v>
      </c>
    </row>
    <row r="152" spans="1:14" ht="36.75" outlineLevel="1" x14ac:dyDescent="0.25">
      <c r="A152" s="252"/>
      <c r="B152" s="268" t="s">
        <v>147</v>
      </c>
      <c r="C152" s="162">
        <f>-5.3-4.4</f>
        <v>-9.6999999999999993</v>
      </c>
      <c r="D152" s="160"/>
      <c r="E152" s="160"/>
      <c r="F152" s="160">
        <f t="shared" si="28"/>
        <v>-9.6999999999999993</v>
      </c>
      <c r="G152" s="167"/>
      <c r="H152" s="162">
        <v>0</v>
      </c>
      <c r="I152" s="221">
        <v>-2.65</v>
      </c>
      <c r="J152" s="221">
        <v>-4.4000000000000004</v>
      </c>
      <c r="K152" s="160">
        <f t="shared" si="29"/>
        <v>-7.0500000000000007</v>
      </c>
      <c r="L152" s="167"/>
      <c r="M152" s="250" t="s">
        <v>59</v>
      </c>
      <c r="N152" s="251" t="s">
        <v>154</v>
      </c>
    </row>
    <row r="153" spans="1:14" ht="30" outlineLevel="1" x14ac:dyDescent="0.25">
      <c r="A153" s="330" t="s">
        <v>12</v>
      </c>
      <c r="B153" s="296" t="s">
        <v>87</v>
      </c>
      <c r="C153" s="171">
        <v>-1.3</v>
      </c>
      <c r="D153" s="172">
        <v>0</v>
      </c>
      <c r="E153" s="172">
        <v>0</v>
      </c>
      <c r="F153" s="172">
        <f t="shared" si="28"/>
        <v>-1.3</v>
      </c>
      <c r="G153" s="173"/>
      <c r="H153" s="56">
        <v>-1.3</v>
      </c>
      <c r="I153" s="45">
        <v>0</v>
      </c>
      <c r="J153" s="45">
        <v>0</v>
      </c>
      <c r="K153" s="172">
        <f t="shared" si="29"/>
        <v>-1.3</v>
      </c>
      <c r="L153" s="39"/>
      <c r="M153" s="331" t="s">
        <v>74</v>
      </c>
      <c r="N153" s="332"/>
    </row>
    <row r="154" spans="1:14" outlineLevel="1" x14ac:dyDescent="0.25">
      <c r="A154" s="248"/>
      <c r="B154" s="333"/>
      <c r="C154" s="174"/>
      <c r="D154" s="175"/>
      <c r="E154" s="175"/>
      <c r="F154" s="175"/>
      <c r="G154" s="47"/>
      <c r="H154" s="141"/>
      <c r="I154" s="219"/>
      <c r="J154" s="219"/>
      <c r="K154" s="175"/>
      <c r="L154" s="27"/>
      <c r="M154" s="250"/>
      <c r="N154" s="290"/>
    </row>
    <row r="155" spans="1:14" outlineLevel="1" x14ac:dyDescent="0.25">
      <c r="A155" s="334"/>
      <c r="B155" s="296" t="s">
        <v>35</v>
      </c>
      <c r="C155" s="171">
        <f>SUM(C156)</f>
        <v>-41.8</v>
      </c>
      <c r="D155" s="172">
        <v>0</v>
      </c>
      <c r="E155" s="172">
        <v>0</v>
      </c>
      <c r="F155" s="172">
        <f>SUM(C155:E155)</f>
        <v>-41.8</v>
      </c>
      <c r="G155" s="173"/>
      <c r="H155" s="56">
        <v>0</v>
      </c>
      <c r="I155" s="45">
        <v>0</v>
      </c>
      <c r="J155" s="45">
        <v>0</v>
      </c>
      <c r="K155" s="172">
        <f>SUM(H155:J155)</f>
        <v>0</v>
      </c>
      <c r="L155" s="39"/>
      <c r="M155" s="331"/>
      <c r="N155" s="335"/>
    </row>
    <row r="156" spans="1:14" ht="49.5" outlineLevel="1" thickBot="1" x14ac:dyDescent="0.3">
      <c r="A156" s="273"/>
      <c r="B156" s="386" t="s">
        <v>178</v>
      </c>
      <c r="C156" s="387">
        <v>-41.8</v>
      </c>
      <c r="D156" s="275">
        <v>0</v>
      </c>
      <c r="E156" s="275">
        <v>0</v>
      </c>
      <c r="F156" s="275">
        <f>SUM(C156:E156)</f>
        <v>-41.8</v>
      </c>
      <c r="G156" s="276"/>
      <c r="H156" s="274">
        <v>0</v>
      </c>
      <c r="I156" s="275">
        <v>0</v>
      </c>
      <c r="J156" s="275">
        <v>0</v>
      </c>
      <c r="K156" s="275"/>
      <c r="L156" s="276"/>
      <c r="M156" s="277"/>
      <c r="N156" s="389" t="s">
        <v>177</v>
      </c>
    </row>
    <row r="157" spans="1:14" ht="15.75" thickBot="1" x14ac:dyDescent="0.3">
      <c r="A157" s="205"/>
      <c r="B157" s="289"/>
      <c r="C157" s="25"/>
      <c r="D157" s="26"/>
      <c r="E157" s="26"/>
      <c r="F157" s="26"/>
      <c r="G157" s="132"/>
      <c r="H157" s="25"/>
      <c r="I157" s="26"/>
      <c r="J157" s="26"/>
      <c r="K157" s="26"/>
      <c r="L157" s="132"/>
      <c r="M157" s="26"/>
      <c r="N157" s="27"/>
    </row>
    <row r="158" spans="1:14" ht="15" customHeight="1" thickBot="1" x14ac:dyDescent="0.3">
      <c r="A158" s="205"/>
      <c r="B158" s="289"/>
      <c r="C158" s="392" t="s">
        <v>163</v>
      </c>
      <c r="D158" s="393"/>
      <c r="E158" s="393"/>
      <c r="F158" s="393"/>
      <c r="G158" s="394"/>
      <c r="H158" s="392" t="s">
        <v>164</v>
      </c>
      <c r="I158" s="393"/>
      <c r="J158" s="393"/>
      <c r="K158" s="393"/>
      <c r="L158" s="394"/>
      <c r="M158" s="26"/>
      <c r="N158" s="27"/>
    </row>
    <row r="159" spans="1:14" ht="60" x14ac:dyDescent="0.25">
      <c r="A159" s="397" t="s">
        <v>88</v>
      </c>
      <c r="B159" s="398"/>
      <c r="C159" s="7" t="s">
        <v>1</v>
      </c>
      <c r="D159" s="8" t="s">
        <v>2</v>
      </c>
      <c r="E159" s="8" t="s">
        <v>3</v>
      </c>
      <c r="F159" s="198" t="s">
        <v>165</v>
      </c>
      <c r="G159" s="9" t="s">
        <v>4</v>
      </c>
      <c r="H159" s="7" t="s">
        <v>1</v>
      </c>
      <c r="I159" s="8" t="s">
        <v>2</v>
      </c>
      <c r="J159" s="8" t="s">
        <v>3</v>
      </c>
      <c r="K159" s="198" t="s">
        <v>165</v>
      </c>
      <c r="L159" s="9" t="s">
        <v>4</v>
      </c>
      <c r="M159" s="8" t="s">
        <v>5</v>
      </c>
      <c r="N159" s="9" t="s">
        <v>6</v>
      </c>
    </row>
    <row r="160" spans="1:14" ht="26.25" x14ac:dyDescent="0.25">
      <c r="A160" s="336" t="s">
        <v>7</v>
      </c>
      <c r="B160" s="337"/>
      <c r="C160" s="176">
        <v>67.496800000000007</v>
      </c>
      <c r="D160" s="177">
        <v>33.306599999999996</v>
      </c>
      <c r="E160" s="177">
        <v>35.459425570313442</v>
      </c>
      <c r="F160" s="177">
        <f>SUM(C160:E160)</f>
        <v>136.26282557031345</v>
      </c>
      <c r="G160" s="178"/>
      <c r="H160" s="179">
        <v>67.496800000000007</v>
      </c>
      <c r="I160" s="368">
        <v>33.229999999999997</v>
      </c>
      <c r="J160" s="368">
        <v>35.4</v>
      </c>
      <c r="K160" s="177">
        <f>SUM(H160:J160)</f>
        <v>136.1268</v>
      </c>
      <c r="L160" s="178"/>
      <c r="M160" s="338"/>
      <c r="N160" s="359" t="s">
        <v>169</v>
      </c>
    </row>
    <row r="161" spans="1:15" x14ac:dyDescent="0.25">
      <c r="A161" s="339" t="s">
        <v>8</v>
      </c>
      <c r="B161" s="337"/>
      <c r="C161" s="180">
        <f>C164+C168+C175+C177</f>
        <v>-72.100000000000009</v>
      </c>
      <c r="D161" s="229">
        <f>D164+D168</f>
        <v>-30.3</v>
      </c>
      <c r="E161" s="229">
        <f>E164+E168</f>
        <v>-35.5</v>
      </c>
      <c r="F161" s="229">
        <f>SUM(C161:E161)</f>
        <v>-137.9</v>
      </c>
      <c r="G161" s="181">
        <f>G164+G168</f>
        <v>963</v>
      </c>
      <c r="H161" s="180">
        <f>H164+H168+H175+H177</f>
        <v>-25.900000000000002</v>
      </c>
      <c r="I161" s="229">
        <f>I164+I168</f>
        <v>-31.463000000000001</v>
      </c>
      <c r="J161" s="229">
        <f>J164+J168</f>
        <v>-34.863</v>
      </c>
      <c r="K161" s="229">
        <f>SUM(H161:J161)</f>
        <v>-92.225999999999999</v>
      </c>
      <c r="L161" s="181">
        <f>L164+L168</f>
        <v>908</v>
      </c>
      <c r="M161" s="340"/>
      <c r="N161" s="341"/>
    </row>
    <row r="162" spans="1:15" x14ac:dyDescent="0.25">
      <c r="A162" s="339" t="s">
        <v>9</v>
      </c>
      <c r="B162" s="337"/>
      <c r="C162" s="180">
        <f>C160+C161</f>
        <v>-4.6032000000000011</v>
      </c>
      <c r="D162" s="230">
        <f>D160+D161</f>
        <v>3.0065999999999953</v>
      </c>
      <c r="E162" s="230">
        <f>E160+E161</f>
        <v>-4.0574429686557778E-2</v>
      </c>
      <c r="F162" s="230">
        <f>SUM(C162:E162)</f>
        <v>-1.6371744296865636</v>
      </c>
      <c r="G162" s="182"/>
      <c r="H162" s="180">
        <f>H160+H161</f>
        <v>41.596800000000002</v>
      </c>
      <c r="I162" s="230">
        <f>I160+I161</f>
        <v>1.7669999999999959</v>
      </c>
      <c r="J162" s="230">
        <f>J160+J161</f>
        <v>0.53699999999999903</v>
      </c>
      <c r="K162" s="230">
        <f>SUM(H162:J162)</f>
        <v>43.900799999999997</v>
      </c>
      <c r="L162" s="182"/>
      <c r="M162" s="340"/>
      <c r="N162" s="341"/>
    </row>
    <row r="163" spans="1:15" ht="15.75" thickBot="1" x14ac:dyDescent="0.3">
      <c r="A163" s="342" t="s">
        <v>44</v>
      </c>
      <c r="B163" s="183"/>
      <c r="C163" s="184"/>
      <c r="D163" s="185"/>
      <c r="E163" s="185"/>
      <c r="F163" s="185"/>
      <c r="G163" s="186"/>
      <c r="H163" s="184"/>
      <c r="I163" s="185"/>
      <c r="J163" s="185"/>
      <c r="K163" s="185"/>
      <c r="L163" s="186"/>
      <c r="M163" s="185"/>
      <c r="N163" s="343"/>
    </row>
    <row r="164" spans="1:15" outlineLevel="1" x14ac:dyDescent="0.25">
      <c r="A164" s="246"/>
      <c r="B164" s="247" t="s">
        <v>89</v>
      </c>
      <c r="C164" s="164">
        <f>SUM(C165:C166)</f>
        <v>-23.6</v>
      </c>
      <c r="D164" s="165">
        <f t="shared" ref="D164:G164" si="30">SUM(D165:D167)</f>
        <v>-22</v>
      </c>
      <c r="E164" s="165">
        <f t="shared" si="30"/>
        <v>-13.700000000000001</v>
      </c>
      <c r="F164" s="165">
        <f t="shared" ref="F164:F169" si="31">SUM(C164:E164)</f>
        <v>-59.300000000000004</v>
      </c>
      <c r="G164" s="39">
        <f t="shared" si="30"/>
        <v>310</v>
      </c>
      <c r="H164" s="40">
        <v>-23.6</v>
      </c>
      <c r="I164" s="222">
        <v>-21.4</v>
      </c>
      <c r="J164" s="222">
        <v>-14.3</v>
      </c>
      <c r="K164" s="165">
        <f t="shared" ref="K164:K169" si="32">SUM(H164:J164)</f>
        <v>-59.3</v>
      </c>
      <c r="L164" s="39">
        <f t="shared" ref="L164" si="33">SUM(L165:L167)</f>
        <v>310</v>
      </c>
      <c r="M164" s="187"/>
      <c r="N164" s="146"/>
    </row>
    <row r="165" spans="1:15" ht="30" outlineLevel="1" x14ac:dyDescent="0.25">
      <c r="A165" s="248" t="s">
        <v>12</v>
      </c>
      <c r="B165" s="267" t="s">
        <v>90</v>
      </c>
      <c r="C165" s="174">
        <v>-23.6</v>
      </c>
      <c r="D165" s="175">
        <v>0</v>
      </c>
      <c r="E165" s="175">
        <v>0</v>
      </c>
      <c r="F165" s="175">
        <f t="shared" si="31"/>
        <v>-23.6</v>
      </c>
      <c r="G165" s="47"/>
      <c r="H165" s="33">
        <v>-23.6</v>
      </c>
      <c r="I165" s="228"/>
      <c r="J165" s="228"/>
      <c r="K165" s="175">
        <f t="shared" si="32"/>
        <v>-23.6</v>
      </c>
      <c r="L165" s="27"/>
      <c r="M165" s="250" t="s">
        <v>91</v>
      </c>
      <c r="N165" s="290"/>
    </row>
    <row r="166" spans="1:15" ht="30" outlineLevel="1" x14ac:dyDescent="0.25">
      <c r="A166" s="252"/>
      <c r="B166" s="268" t="s">
        <v>92</v>
      </c>
      <c r="C166" s="162">
        <v>0</v>
      </c>
      <c r="D166" s="163">
        <v>-6.4</v>
      </c>
      <c r="E166" s="160">
        <v>-8.3000000000000007</v>
      </c>
      <c r="F166" s="160">
        <f t="shared" si="31"/>
        <v>-14.700000000000001</v>
      </c>
      <c r="G166" s="27">
        <v>120</v>
      </c>
      <c r="H166" s="188"/>
      <c r="I166" s="223">
        <v>-6.4</v>
      </c>
      <c r="J166" s="223">
        <v>-8.3000000000000007</v>
      </c>
      <c r="K166" s="160">
        <f t="shared" si="32"/>
        <v>-14.700000000000001</v>
      </c>
      <c r="L166" s="27">
        <v>120</v>
      </c>
      <c r="M166" s="250" t="s">
        <v>91</v>
      </c>
      <c r="N166" s="344" t="s">
        <v>93</v>
      </c>
      <c r="O166" s="1"/>
    </row>
    <row r="167" spans="1:15" ht="48.75" outlineLevel="1" x14ac:dyDescent="0.25">
      <c r="A167" s="252"/>
      <c r="B167" s="268" t="s">
        <v>94</v>
      </c>
      <c r="C167" s="162"/>
      <c r="D167" s="189">
        <f>-15.6</f>
        <v>-15.6</v>
      </c>
      <c r="E167" s="189">
        <v>-5.4</v>
      </c>
      <c r="F167" s="160">
        <f t="shared" si="31"/>
        <v>-21</v>
      </c>
      <c r="G167" s="27">
        <v>190</v>
      </c>
      <c r="H167" s="188"/>
      <c r="I167" s="223">
        <v>-15</v>
      </c>
      <c r="J167" s="223">
        <v>-6</v>
      </c>
      <c r="K167" s="160">
        <f t="shared" si="32"/>
        <v>-21</v>
      </c>
      <c r="L167" s="27">
        <v>190</v>
      </c>
      <c r="M167" s="250" t="s">
        <v>91</v>
      </c>
      <c r="N167" s="344" t="s">
        <v>95</v>
      </c>
      <c r="O167" s="1"/>
    </row>
    <row r="168" spans="1:15" ht="15" customHeight="1" outlineLevel="1" x14ac:dyDescent="0.25">
      <c r="A168" s="263"/>
      <c r="B168" s="247" t="s">
        <v>96</v>
      </c>
      <c r="C168" s="164">
        <f>SUM(C169:C170)</f>
        <v>0</v>
      </c>
      <c r="D168" s="190">
        <f>SUM(D169:D174)</f>
        <v>-8.3000000000000007</v>
      </c>
      <c r="E168" s="190">
        <f>SUM(E169:E173)</f>
        <v>-21.8</v>
      </c>
      <c r="F168" s="190">
        <f t="shared" si="31"/>
        <v>-30.1</v>
      </c>
      <c r="G168" s="39">
        <f>SUM(G169:G170)</f>
        <v>653</v>
      </c>
      <c r="H168" s="191">
        <v>0</v>
      </c>
      <c r="I168" s="232">
        <v>-10.063000000000001</v>
      </c>
      <c r="J168" s="232">
        <v>-20.563000000000002</v>
      </c>
      <c r="K168" s="190">
        <f t="shared" si="32"/>
        <v>-30.626000000000005</v>
      </c>
      <c r="L168" s="39">
        <f>SUM(L169:L170)</f>
        <v>598</v>
      </c>
      <c r="M168" s="331"/>
      <c r="N168" s="146"/>
    </row>
    <row r="169" spans="1:15" ht="72.75" outlineLevel="1" x14ac:dyDescent="0.25">
      <c r="A169" s="252"/>
      <c r="B169" s="268" t="s">
        <v>97</v>
      </c>
      <c r="C169" s="162"/>
      <c r="D169" s="189">
        <v>0</v>
      </c>
      <c r="E169" s="189">
        <v>-16.5</v>
      </c>
      <c r="F169" s="160">
        <f t="shared" si="31"/>
        <v>-16.5</v>
      </c>
      <c r="G169" s="27">
        <v>553</v>
      </c>
      <c r="H169" s="188"/>
      <c r="I169" s="231"/>
      <c r="J169" s="223">
        <v>-13.5</v>
      </c>
      <c r="K169" s="160">
        <f t="shared" si="32"/>
        <v>-13.5</v>
      </c>
      <c r="L169" s="27">
        <v>498</v>
      </c>
      <c r="M169" s="250" t="s">
        <v>91</v>
      </c>
      <c r="N169" s="344" t="s">
        <v>172</v>
      </c>
    </row>
    <row r="170" spans="1:15" outlineLevel="1" x14ac:dyDescent="0.25">
      <c r="A170" s="252"/>
      <c r="B170" s="268" t="s">
        <v>98</v>
      </c>
      <c r="C170" s="162"/>
      <c r="D170" s="189">
        <v>-6.5</v>
      </c>
      <c r="E170" s="189">
        <v>-3.5</v>
      </c>
      <c r="F170" s="160">
        <f t="shared" ref="F170:F174" si="34">SUM(C170:E170)</f>
        <v>-10</v>
      </c>
      <c r="G170" s="27">
        <v>100</v>
      </c>
      <c r="H170" s="188"/>
      <c r="I170" s="223">
        <v>-6.5</v>
      </c>
      <c r="J170" s="223">
        <v>-3.5</v>
      </c>
      <c r="K170" s="160">
        <f t="shared" ref="K170:K174" si="35">SUM(H170:J170)</f>
        <v>-10</v>
      </c>
      <c r="L170" s="27">
        <v>100</v>
      </c>
      <c r="M170" s="250" t="s">
        <v>91</v>
      </c>
      <c r="N170" s="27"/>
    </row>
    <row r="171" spans="1:15" ht="30" outlineLevel="1" x14ac:dyDescent="0.25">
      <c r="A171" s="252"/>
      <c r="B171" s="268" t="s">
        <v>99</v>
      </c>
      <c r="C171" s="162"/>
      <c r="D171" s="49">
        <v>-1.8</v>
      </c>
      <c r="E171" s="49">
        <v>-1.8</v>
      </c>
      <c r="F171" s="160">
        <f t="shared" si="34"/>
        <v>-3.6</v>
      </c>
      <c r="G171" s="27">
        <v>40</v>
      </c>
      <c r="H171" s="192"/>
      <c r="I171" s="193">
        <v>-1.8</v>
      </c>
      <c r="J171" s="193">
        <v>-1.8</v>
      </c>
      <c r="K171" s="160">
        <f t="shared" si="35"/>
        <v>-3.6</v>
      </c>
      <c r="L171" s="27">
        <v>40</v>
      </c>
      <c r="M171" s="250" t="s">
        <v>91</v>
      </c>
      <c r="N171" s="344" t="s">
        <v>100</v>
      </c>
      <c r="O171" s="194"/>
    </row>
    <row r="172" spans="1:15" ht="36.75" outlineLevel="1" x14ac:dyDescent="0.25">
      <c r="A172" s="252"/>
      <c r="B172" s="268" t="s">
        <v>116</v>
      </c>
      <c r="C172" s="162"/>
      <c r="D172" s="233"/>
      <c r="E172" s="233"/>
      <c r="F172" s="160">
        <f t="shared" si="34"/>
        <v>0</v>
      </c>
      <c r="G172" s="27"/>
      <c r="H172" s="28"/>
      <c r="I172" s="221">
        <v>-0.86299999999999999</v>
      </c>
      <c r="J172" s="221">
        <v>-0.86299999999999999</v>
      </c>
      <c r="K172" s="160">
        <f t="shared" si="35"/>
        <v>-1.726</v>
      </c>
      <c r="L172" s="27"/>
      <c r="M172" s="250" t="s">
        <v>59</v>
      </c>
      <c r="N172" s="344" t="s">
        <v>173</v>
      </c>
    </row>
    <row r="173" spans="1:15" ht="30" outlineLevel="1" x14ac:dyDescent="0.25">
      <c r="A173" s="252"/>
      <c r="B173" s="268" t="s">
        <v>101</v>
      </c>
      <c r="C173" s="162"/>
      <c r="D173" s="163"/>
      <c r="E173" s="163"/>
      <c r="F173" s="160">
        <f t="shared" si="34"/>
        <v>0</v>
      </c>
      <c r="G173" s="27"/>
      <c r="H173" s="28"/>
      <c r="I173" s="223">
        <v>-0.3</v>
      </c>
      <c r="J173" s="223">
        <v>-0.3</v>
      </c>
      <c r="K173" s="160">
        <f t="shared" si="35"/>
        <v>-0.6</v>
      </c>
      <c r="L173" s="27">
        <v>40</v>
      </c>
      <c r="M173" s="250" t="s">
        <v>102</v>
      </c>
      <c r="N173" s="344"/>
    </row>
    <row r="174" spans="1:15" ht="30" outlineLevel="1" x14ac:dyDescent="0.25">
      <c r="A174" s="252"/>
      <c r="B174" s="268" t="s">
        <v>103</v>
      </c>
      <c r="C174" s="162"/>
      <c r="D174" s="163"/>
      <c r="E174" s="163"/>
      <c r="F174" s="160">
        <f t="shared" si="34"/>
        <v>0</v>
      </c>
      <c r="G174" s="27"/>
      <c r="H174" s="28"/>
      <c r="I174" s="223">
        <v>-0.6</v>
      </c>
      <c r="J174" s="223">
        <v>-0.6</v>
      </c>
      <c r="K174" s="160">
        <f t="shared" si="35"/>
        <v>-1.2</v>
      </c>
      <c r="L174" s="27">
        <v>20</v>
      </c>
      <c r="M174" s="250" t="s">
        <v>102</v>
      </c>
      <c r="N174" s="344"/>
    </row>
    <row r="175" spans="1:15" ht="30" outlineLevel="1" x14ac:dyDescent="0.25">
      <c r="A175" s="330" t="s">
        <v>12</v>
      </c>
      <c r="B175" s="296" t="s">
        <v>104</v>
      </c>
      <c r="C175" s="171">
        <v>-2.2999999999999998</v>
      </c>
      <c r="D175" s="172">
        <v>0</v>
      </c>
      <c r="E175" s="172">
        <v>0</v>
      </c>
      <c r="F175" s="172">
        <f>SUM(C175:E175)</f>
        <v>-2.2999999999999998</v>
      </c>
      <c r="G175" s="173"/>
      <c r="H175" s="56">
        <v>-2.2999999999999998</v>
      </c>
      <c r="I175" s="45">
        <v>0</v>
      </c>
      <c r="J175" s="45">
        <v>0</v>
      </c>
      <c r="K175" s="172">
        <f>SUM(H175:J175)</f>
        <v>-2.2999999999999998</v>
      </c>
      <c r="L175" s="39"/>
      <c r="M175" s="331" t="s">
        <v>74</v>
      </c>
      <c r="N175" s="332"/>
    </row>
    <row r="176" spans="1:15" outlineLevel="1" x14ac:dyDescent="0.25">
      <c r="A176" s="252"/>
      <c r="B176" s="289"/>
      <c r="C176" s="162"/>
      <c r="D176" s="163"/>
      <c r="E176" s="163"/>
      <c r="F176" s="163"/>
      <c r="G176" s="27"/>
      <c r="H176" s="28"/>
      <c r="I176" s="219"/>
      <c r="J176" s="219"/>
      <c r="K176" s="163"/>
      <c r="L176" s="27"/>
      <c r="M176" s="250"/>
      <c r="N176" s="290"/>
    </row>
    <row r="177" spans="1:14" outlineLevel="1" x14ac:dyDescent="0.25">
      <c r="A177" s="269"/>
      <c r="B177" s="296" t="s">
        <v>35</v>
      </c>
      <c r="C177" s="171">
        <f>SUM(C178)</f>
        <v>-46.2</v>
      </c>
      <c r="D177" s="172">
        <v>0</v>
      </c>
      <c r="E177" s="172">
        <v>0</v>
      </c>
      <c r="F177" s="172">
        <f>SUM(C177:E177)</f>
        <v>-46.2</v>
      </c>
      <c r="G177" s="173"/>
      <c r="H177" s="56">
        <v>0</v>
      </c>
      <c r="I177" s="45">
        <v>0</v>
      </c>
      <c r="J177" s="45">
        <v>0</v>
      </c>
      <c r="K177" s="172">
        <f>SUM(H177:J177)</f>
        <v>0</v>
      </c>
      <c r="L177" s="145"/>
      <c r="M177" s="271" t="s">
        <v>75</v>
      </c>
      <c r="N177" s="345"/>
    </row>
    <row r="178" spans="1:14" ht="49.5" outlineLevel="1" thickBot="1" x14ac:dyDescent="0.3">
      <c r="A178" s="273"/>
      <c r="B178" s="386" t="s">
        <v>178</v>
      </c>
      <c r="C178" s="387">
        <v>-46.2</v>
      </c>
      <c r="D178" s="275">
        <v>0</v>
      </c>
      <c r="E178" s="275">
        <v>0</v>
      </c>
      <c r="F178" s="275">
        <f>SUM(C178:E178)</f>
        <v>-46.2</v>
      </c>
      <c r="G178" s="276"/>
      <c r="H178" s="274">
        <v>0</v>
      </c>
      <c r="I178" s="275">
        <v>0</v>
      </c>
      <c r="J178" s="275">
        <v>0</v>
      </c>
      <c r="K178" s="275"/>
      <c r="L178" s="276"/>
      <c r="M178" s="277"/>
      <c r="N178" s="389" t="s">
        <v>177</v>
      </c>
    </row>
    <row r="179" spans="1:14" x14ac:dyDescent="0.25">
      <c r="C179" s="25"/>
      <c r="D179" s="26"/>
      <c r="E179" s="26"/>
      <c r="F179" s="26"/>
      <c r="G179" s="132"/>
      <c r="H179" s="25"/>
      <c r="I179" s="26"/>
      <c r="J179" s="26"/>
      <c r="K179" s="26"/>
      <c r="L179" s="132"/>
      <c r="M179" s="26"/>
    </row>
    <row r="180" spans="1:14" ht="15.75" thickBot="1" x14ac:dyDescent="0.3">
      <c r="C180" s="25"/>
      <c r="D180" s="26"/>
      <c r="E180" s="26"/>
      <c r="F180" s="26"/>
      <c r="G180" s="132"/>
      <c r="H180" s="25"/>
      <c r="I180" s="26"/>
      <c r="J180" s="26"/>
      <c r="K180" s="26"/>
      <c r="L180" s="132"/>
      <c r="M180" s="26"/>
    </row>
    <row r="181" spans="1:14" ht="15" customHeight="1" thickBot="1" x14ac:dyDescent="0.3">
      <c r="C181" s="392" t="s">
        <v>163</v>
      </c>
      <c r="D181" s="393"/>
      <c r="E181" s="393"/>
      <c r="F181" s="393"/>
      <c r="G181" s="394"/>
      <c r="H181" s="392" t="s">
        <v>164</v>
      </c>
      <c r="I181" s="393"/>
      <c r="J181" s="393"/>
      <c r="K181" s="393"/>
      <c r="L181" s="394"/>
      <c r="M181"/>
      <c r="N181" s="2"/>
    </row>
    <row r="182" spans="1:14" ht="60" x14ac:dyDescent="0.25">
      <c r="A182" s="195"/>
      <c r="B182" s="196"/>
      <c r="C182" s="197" t="s">
        <v>1</v>
      </c>
      <c r="D182" s="198" t="s">
        <v>2</v>
      </c>
      <c r="E182" s="198" t="s">
        <v>3</v>
      </c>
      <c r="F182" s="198" t="s">
        <v>165</v>
      </c>
      <c r="G182" s="9" t="s">
        <v>4</v>
      </c>
      <c r="H182" s="197" t="s">
        <v>1</v>
      </c>
      <c r="I182" s="198" t="s">
        <v>2</v>
      </c>
      <c r="J182" s="198" t="s">
        <v>3</v>
      </c>
      <c r="K182" s="198" t="s">
        <v>165</v>
      </c>
      <c r="L182" s="199" t="s">
        <v>4</v>
      </c>
      <c r="M182"/>
      <c r="N182" s="2"/>
    </row>
    <row r="183" spans="1:14" x14ac:dyDescent="0.25">
      <c r="A183" s="200" t="s">
        <v>105</v>
      </c>
      <c r="B183" s="201"/>
      <c r="C183" s="202"/>
      <c r="D183" s="203"/>
      <c r="E183" s="203"/>
      <c r="F183" s="203"/>
      <c r="G183" s="204"/>
      <c r="H183" s="202"/>
      <c r="I183" s="203"/>
      <c r="J183" s="203"/>
      <c r="K183" s="203"/>
      <c r="L183" s="204"/>
      <c r="M183"/>
      <c r="N183" s="2"/>
    </row>
    <row r="184" spans="1:14" x14ac:dyDescent="0.25">
      <c r="A184" s="205"/>
      <c r="B184" s="2" t="s">
        <v>106</v>
      </c>
      <c r="C184" s="25">
        <v>0</v>
      </c>
      <c r="D184" s="26">
        <v>-2.5</v>
      </c>
      <c r="E184" s="26">
        <v>-2.5</v>
      </c>
      <c r="F184" s="26">
        <f>SUM(C184:E184)</f>
        <v>-5</v>
      </c>
      <c r="G184" s="132"/>
      <c r="H184" s="25"/>
      <c r="I184" s="384">
        <v>-3.25</v>
      </c>
      <c r="J184" s="97">
        <v>-3.5</v>
      </c>
      <c r="K184" s="97">
        <f>SUM(H184:J184)</f>
        <v>-6.75</v>
      </c>
      <c r="L184" s="132"/>
      <c r="M184"/>
      <c r="N184" s="2"/>
    </row>
    <row r="185" spans="1:14" x14ac:dyDescent="0.25">
      <c r="A185" s="205"/>
      <c r="B185" s="373" t="s">
        <v>107</v>
      </c>
      <c r="C185" s="99">
        <f>C79+C90+C127+C160</f>
        <v>674.96800099999996</v>
      </c>
      <c r="D185" s="374">
        <f>D79+D90+D127+D160-D184</f>
        <v>335.56599999999997</v>
      </c>
      <c r="E185" s="374">
        <f>E79+E90+E127+E160-E184</f>
        <v>357.09425570313442</v>
      </c>
      <c r="F185" s="374">
        <f t="shared" ref="F185:F188" si="36">SUM(C185:E185)</f>
        <v>1367.6282567031344</v>
      </c>
      <c r="G185" s="375"/>
      <c r="H185" s="99">
        <f>H79+H90+H127+H160</f>
        <v>674.96800099999996</v>
      </c>
      <c r="I185" s="374">
        <f>I79+I90+I127+I160-I184</f>
        <v>335.57000000000005</v>
      </c>
      <c r="J185" s="374">
        <f>J79+J90+J127+J160-J184</f>
        <v>357.1</v>
      </c>
      <c r="K185" s="385">
        <f t="shared" ref="K185:K188" si="37">SUM(H185:J185)</f>
        <v>1367.638001</v>
      </c>
      <c r="L185" s="132"/>
      <c r="M185"/>
      <c r="N185" s="2"/>
    </row>
    <row r="186" spans="1:14" x14ac:dyDescent="0.25">
      <c r="A186" s="205"/>
      <c r="B186" s="2" t="s">
        <v>157</v>
      </c>
      <c r="C186" s="25">
        <f>C12+C20+C24+C27+C29+C31+C46+C48+C65+C68+C70+C95+C100+C101+C105+C106+C107+C113+C120+C122+C133+C153+C155+C165+C175+C177</f>
        <v>-275.50200000000001</v>
      </c>
      <c r="D186" s="26">
        <v>0</v>
      </c>
      <c r="E186" s="26">
        <v>0</v>
      </c>
      <c r="F186" s="26">
        <f t="shared" si="36"/>
        <v>-275.50200000000001</v>
      </c>
      <c r="G186" s="132"/>
      <c r="H186" s="25">
        <f>H12+H20+H24+H27+H29+H31+H46+H48+H65+H68+H70+H95+H100+H101+H105+H106+H107+H113+H120+H122+H133+H153+H155+H165+H175+H177</f>
        <v>-79.501999999999995</v>
      </c>
      <c r="I186" s="26">
        <v>0</v>
      </c>
      <c r="J186" s="26">
        <v>0</v>
      </c>
      <c r="K186" s="97">
        <f t="shared" si="37"/>
        <v>-79.501999999999995</v>
      </c>
      <c r="L186" s="132"/>
      <c r="M186"/>
      <c r="N186" s="2"/>
    </row>
    <row r="187" spans="1:14" x14ac:dyDescent="0.25">
      <c r="A187" s="205"/>
      <c r="B187" s="2" t="s">
        <v>158</v>
      </c>
      <c r="C187" s="25">
        <f>C188-C186</f>
        <v>-281.3</v>
      </c>
      <c r="D187" s="26">
        <f t="shared" ref="D187:E187" si="38">D188-D186</f>
        <v>-405.12</v>
      </c>
      <c r="E187" s="26">
        <f t="shared" si="38"/>
        <v>-359.08299999999997</v>
      </c>
      <c r="F187" s="26">
        <f t="shared" si="36"/>
        <v>-1045.5030000000002</v>
      </c>
      <c r="G187" s="132"/>
      <c r="H187" s="25">
        <f>H188-H186</f>
        <v>-247.99999999999994</v>
      </c>
      <c r="I187" s="26">
        <f t="shared" ref="I187:J187" si="39">I188-I186</f>
        <v>-408.14299999999997</v>
      </c>
      <c r="J187" s="26">
        <f t="shared" si="39"/>
        <v>-343.13299999999998</v>
      </c>
      <c r="K187" s="97">
        <f t="shared" si="37"/>
        <v>-999.27599999999984</v>
      </c>
      <c r="L187" s="132"/>
      <c r="M187"/>
      <c r="N187" s="2"/>
    </row>
    <row r="188" spans="1:14" x14ac:dyDescent="0.25">
      <c r="A188" s="205"/>
      <c r="B188" s="2" t="s">
        <v>8</v>
      </c>
      <c r="C188" s="25">
        <f>C81+C91+C128+C161</f>
        <v>-556.80200000000002</v>
      </c>
      <c r="D188" s="26">
        <f>D81+D91+D128+D161+D184</f>
        <v>-405.12</v>
      </c>
      <c r="E188" s="26">
        <f>E81+E91+E128+E161+E184</f>
        <v>-359.08299999999997</v>
      </c>
      <c r="F188" s="26">
        <f t="shared" si="36"/>
        <v>-1321.0050000000001</v>
      </c>
      <c r="G188" s="206">
        <f>G81+G91+G128+G161</f>
        <v>12950</v>
      </c>
      <c r="H188" s="25">
        <f>H8+H38+H55+H91+H128+H161</f>
        <v>-327.50199999999995</v>
      </c>
      <c r="I188" s="26">
        <f>I8+I38+I55+I91+I128+I161+I184</f>
        <v>-408.14299999999997</v>
      </c>
      <c r="J188" s="26">
        <f>J8+J38+J55+J91+J128+J161+J184</f>
        <v>-343.13299999999998</v>
      </c>
      <c r="K188" s="97">
        <f t="shared" si="37"/>
        <v>-1078.778</v>
      </c>
      <c r="L188" s="206">
        <f>L81+L91+L128+L161</f>
        <v>11356</v>
      </c>
      <c r="M188"/>
      <c r="N188" s="2"/>
    </row>
    <row r="189" spans="1:14" ht="15.75" thickBot="1" x14ac:dyDescent="0.3">
      <c r="A189" s="207"/>
      <c r="B189" s="376" t="s">
        <v>108</v>
      </c>
      <c r="C189" s="208">
        <f>C185+C188</f>
        <v>118.16600099999994</v>
      </c>
      <c r="D189" s="209">
        <f>D185+D188</f>
        <v>-69.55400000000003</v>
      </c>
      <c r="E189" s="209">
        <f>E185+E188</f>
        <v>-1.9887442968655478</v>
      </c>
      <c r="F189" s="209">
        <f>SUM(C189:E189)</f>
        <v>46.623256703134359</v>
      </c>
      <c r="G189" s="210"/>
      <c r="H189" s="208">
        <f>H185+H188</f>
        <v>347.46600100000001</v>
      </c>
      <c r="I189" s="209">
        <f>I185+I188</f>
        <v>-72.572999999999922</v>
      </c>
      <c r="J189" s="209">
        <f>J185+J188</f>
        <v>13.967000000000041</v>
      </c>
      <c r="K189" s="209">
        <f>SUM(H189:J189)</f>
        <v>288.86000100000012</v>
      </c>
      <c r="L189" s="210"/>
      <c r="M189"/>
      <c r="N189" s="2"/>
    </row>
    <row r="190" spans="1:14" x14ac:dyDescent="0.25">
      <c r="C190"/>
      <c r="E190"/>
      <c r="F190"/>
      <c r="G190"/>
      <c r="H190"/>
      <c r="I190"/>
      <c r="J190"/>
      <c r="K190"/>
      <c r="L190"/>
      <c r="M190"/>
      <c r="N190" s="2"/>
    </row>
    <row r="191" spans="1:14" x14ac:dyDescent="0.25">
      <c r="C191" s="390"/>
      <c r="E191"/>
      <c r="F191"/>
      <c r="G191"/>
      <c r="H191"/>
      <c r="I191"/>
      <c r="J191"/>
      <c r="K191"/>
      <c r="L191"/>
      <c r="M191"/>
      <c r="N191" s="2"/>
    </row>
    <row r="192" spans="1:14" x14ac:dyDescent="0.25">
      <c r="C192"/>
      <c r="E192"/>
      <c r="F192"/>
      <c r="G192"/>
      <c r="H192"/>
      <c r="I192"/>
      <c r="J192"/>
      <c r="K192"/>
      <c r="L192"/>
      <c r="M192"/>
      <c r="N192" s="2"/>
    </row>
    <row r="193" spans="1:3" x14ac:dyDescent="0.25">
      <c r="A193" s="1" t="s">
        <v>109</v>
      </c>
      <c r="C193"/>
    </row>
    <row r="194" spans="1:3" x14ac:dyDescent="0.25">
      <c r="A194" t="s">
        <v>110</v>
      </c>
      <c r="C194"/>
    </row>
    <row r="195" spans="1:3" x14ac:dyDescent="0.25">
      <c r="A195" t="s">
        <v>174</v>
      </c>
      <c r="C195"/>
    </row>
    <row r="196" spans="1:3" x14ac:dyDescent="0.25">
      <c r="A196" t="s">
        <v>175</v>
      </c>
      <c r="C196"/>
    </row>
    <row r="197" spans="1:3" x14ac:dyDescent="0.25">
      <c r="A197" t="s">
        <v>176</v>
      </c>
      <c r="C197"/>
    </row>
    <row r="198" spans="1:3" x14ac:dyDescent="0.25">
      <c r="A198" t="s">
        <v>203</v>
      </c>
      <c r="C198"/>
    </row>
    <row r="199" spans="1:3" x14ac:dyDescent="0.25">
      <c r="C199"/>
    </row>
    <row r="200" spans="1:3" x14ac:dyDescent="0.25">
      <c r="C200"/>
    </row>
    <row r="201" spans="1:3" x14ac:dyDescent="0.25">
      <c r="C201"/>
    </row>
    <row r="202" spans="1:3" x14ac:dyDescent="0.25">
      <c r="C202"/>
    </row>
    <row r="203" spans="1:3" x14ac:dyDescent="0.25">
      <c r="C203"/>
    </row>
    <row r="204" spans="1:3" x14ac:dyDescent="0.25">
      <c r="C204"/>
    </row>
    <row r="205" spans="1:3" x14ac:dyDescent="0.25">
      <c r="C205"/>
    </row>
    <row r="206" spans="1:3" x14ac:dyDescent="0.25">
      <c r="C206"/>
    </row>
    <row r="207" spans="1:3" x14ac:dyDescent="0.25">
      <c r="C207"/>
    </row>
    <row r="208" spans="1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</sheetData>
  <mergeCells count="23">
    <mergeCell ref="A159:B159"/>
    <mergeCell ref="C181:G181"/>
    <mergeCell ref="H181:L181"/>
    <mergeCell ref="A89:B89"/>
    <mergeCell ref="C125:G125"/>
    <mergeCell ref="H125:L125"/>
    <mergeCell ref="A126:B126"/>
    <mergeCell ref="C158:G158"/>
    <mergeCell ref="H158:L158"/>
    <mergeCell ref="C88:G88"/>
    <mergeCell ref="H88:L88"/>
    <mergeCell ref="C4:G4"/>
    <mergeCell ref="H4:L4"/>
    <mergeCell ref="A5:B5"/>
    <mergeCell ref="C34:G34"/>
    <mergeCell ref="H34:L34"/>
    <mergeCell ref="A35:B35"/>
    <mergeCell ref="C51:G51"/>
    <mergeCell ref="H51:L51"/>
    <mergeCell ref="A52:B52"/>
    <mergeCell ref="C76:G76"/>
    <mergeCell ref="H76:L76"/>
    <mergeCell ref="A78:B7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6.3.21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Marshall, Laura (CON)</dc:creator>
  <cp:lastModifiedBy>Marshall, Laura (CON)</cp:lastModifiedBy>
  <cp:lastPrinted>2021-04-20T00:33:44Z</cp:lastPrinted>
  <dcterms:created xsi:type="dcterms:W3CDTF">2021-04-17T01:18:58Z</dcterms:created>
  <dcterms:modified xsi:type="dcterms:W3CDTF">2021-06-21T20:47:45Z</dcterms:modified>
</cp:coreProperties>
</file>